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1929"/>
  <workbookPr codeName="ThisWorkbook" autoCompressPictures="0"/>
  <mc:AlternateContent xmlns:mc="http://schemas.openxmlformats.org/markup-compatibility/2006">
    <mc:Choice Requires="x15">
      <x15ac:absPath xmlns:x15ac="http://schemas.microsoft.com/office/spreadsheetml/2010/11/ac" url="P:\"/>
    </mc:Choice>
  </mc:AlternateContent>
  <xr:revisionPtr revIDLastSave="0" documentId="13_ncr:1_{501F51BE-7D1F-4CA4-AF4B-BC2DF2030327}" xr6:coauthVersionLast="44" xr6:coauthVersionMax="44" xr10:uidLastSave="{00000000-0000-0000-0000-000000000000}"/>
  <workbookProtection workbookAlgorithmName="SHA-512" workbookHashValue="OSlKls1kHD2N0ljiJeLEoXUKLdMDGjAxqypY7kDMXeSpqBVr09nCAbUI3m3RmdHYbIctsE9Uar1WNsTv6VKpUw==" workbookSaltValue="V749vAyjK4+uhqWohz+NtA==" workbookSpinCount="100000" lockStructure="1"/>
  <bookViews>
    <workbookView xWindow="30405" yWindow="5415" windowWidth="38700" windowHeight="15435"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_xlnm.Print_Area" localSheetId="3">Declaration!$A$1:$L$92</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_xlnm.Print_Titles" localSheetId="3">Declaration!$1:$6</definedName>
    <definedName name="_xlnm.Print_Titles" localSheetId="6">'Product List'!$5:$5</definedName>
    <definedName name="_xlnm.Print_Titles" localSheetId="4">'Smelter List'!$4:$4</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T202" i="5" l="1"/>
  <c r="T209" i="5"/>
  <c r="T233" i="5"/>
  <c r="T247" i="5"/>
  <c r="T263" i="5"/>
  <c r="T264" i="5"/>
  <c r="T267" i="5"/>
  <c r="T280" i="5"/>
  <c r="T291" i="5"/>
  <c r="T296" i="5"/>
  <c r="T305" i="5"/>
  <c r="T308" i="5"/>
  <c r="T309" i="5"/>
  <c r="T310" i="5"/>
  <c r="T311" i="5"/>
  <c r="T312" i="5"/>
  <c r="T317"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R5"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V7" i="5"/>
  <c r="V8" i="5"/>
  <c r="V9" i="5"/>
  <c r="V10" i="5"/>
  <c r="X10" i="5"/>
  <c r="V11" i="5"/>
  <c r="V12" i="5"/>
  <c r="V13" i="5"/>
  <c r="V14" i="5"/>
  <c r="X14" i="5"/>
  <c r="V15" i="5"/>
  <c r="V16" i="5"/>
  <c r="V17" i="5"/>
  <c r="V18" i="5"/>
  <c r="R18" i="5" s="1"/>
  <c r="V19" i="5"/>
  <c r="V20" i="5"/>
  <c r="V21" i="5"/>
  <c r="V22" i="5"/>
  <c r="R22" i="5" s="1"/>
  <c r="X22" i="5"/>
  <c r="V23" i="5"/>
  <c r="R23" i="5" s="1"/>
  <c r="V24" i="5"/>
  <c r="V25" i="5"/>
  <c r="V26" i="5"/>
  <c r="R26" i="5" s="1"/>
  <c r="X26" i="5"/>
  <c r="V27" i="5"/>
  <c r="R27" i="5" s="1"/>
  <c r="V28" i="5"/>
  <c r="V29" i="5"/>
  <c r="V30" i="5"/>
  <c r="X30" i="5"/>
  <c r="V31" i="5"/>
  <c r="R31" i="5" s="1"/>
  <c r="V32" i="5"/>
  <c r="V33" i="5"/>
  <c r="V34" i="5"/>
  <c r="V35" i="5"/>
  <c r="R35" i="5" s="1"/>
  <c r="V36" i="5"/>
  <c r="V37" i="5"/>
  <c r="R37" i="5" s="1"/>
  <c r="V38" i="5"/>
  <c r="X38" i="5"/>
  <c r="V39" i="5"/>
  <c r="V40" i="5"/>
  <c r="V41" i="5"/>
  <c r="V42" i="5"/>
  <c r="R42" i="5" s="1"/>
  <c r="X42" i="5"/>
  <c r="V43" i="5"/>
  <c r="V44" i="5"/>
  <c r="V45" i="5"/>
  <c r="R45" i="5" s="1"/>
  <c r="V46" i="5"/>
  <c r="V47" i="5"/>
  <c r="V48" i="5"/>
  <c r="V49" i="5"/>
  <c r="R49" i="5" s="1"/>
  <c r="V50" i="5"/>
  <c r="X50" i="5"/>
  <c r="V51" i="5"/>
  <c r="V52" i="5"/>
  <c r="R52" i="5" s="1"/>
  <c r="V53" i="5"/>
  <c r="R53" i="5" s="1"/>
  <c r="V54" i="5"/>
  <c r="X54" i="5"/>
  <c r="V55" i="5"/>
  <c r="R55" i="5" s="1"/>
  <c r="V56" i="5"/>
  <c r="V57" i="5"/>
  <c r="V58" i="5"/>
  <c r="X58" i="5"/>
  <c r="V59" i="5"/>
  <c r="R59" i="5" s="1"/>
  <c r="V60" i="5"/>
  <c r="V61" i="5"/>
  <c r="V62" i="5"/>
  <c r="V63" i="5"/>
  <c r="V64" i="5"/>
  <c r="V65" i="5"/>
  <c r="V66" i="5"/>
  <c r="R66" i="5" s="1"/>
  <c r="X66" i="5"/>
  <c r="V67" i="5"/>
  <c r="V68" i="5"/>
  <c r="V69" i="5"/>
  <c r="R69" i="5" s="1"/>
  <c r="V70" i="5"/>
  <c r="V71" i="5"/>
  <c r="V72" i="5"/>
  <c r="V73" i="5"/>
  <c r="R73" i="5" s="1"/>
  <c r="V74" i="5"/>
  <c r="R74" i="5" s="1"/>
  <c r="X74" i="5"/>
  <c r="V75" i="5"/>
  <c r="R75" i="5" s="1"/>
  <c r="V76" i="5"/>
  <c r="R76" i="5" s="1"/>
  <c r="V77" i="5"/>
  <c r="V78" i="5"/>
  <c r="V79" i="5"/>
  <c r="V80" i="5"/>
  <c r="V81" i="5"/>
  <c r="R81" i="5" s="1"/>
  <c r="V82" i="5"/>
  <c r="X82" i="5"/>
  <c r="V83" i="5"/>
  <c r="R83" i="5" s="1"/>
  <c r="V84" i="5"/>
  <c r="V85" i="5"/>
  <c r="V86" i="5"/>
  <c r="X86" i="5"/>
  <c r="V87" i="5"/>
  <c r="V88" i="5"/>
  <c r="V89" i="5"/>
  <c r="R89" i="5" s="1"/>
  <c r="V90" i="5"/>
  <c r="R90" i="5" s="1"/>
  <c r="X90" i="5"/>
  <c r="V91" i="5"/>
  <c r="V92" i="5"/>
  <c r="V93" i="5"/>
  <c r="R93" i="5" s="1"/>
  <c r="V94" i="5"/>
  <c r="X94" i="5"/>
  <c r="V95" i="5"/>
  <c r="R95" i="5" s="1"/>
  <c r="V96" i="5"/>
  <c r="V97" i="5"/>
  <c r="V98" i="5"/>
  <c r="V99" i="5"/>
  <c r="V100" i="5"/>
  <c r="V101" i="5"/>
  <c r="R101" i="5" s="1"/>
  <c r="V102" i="5"/>
  <c r="V103" i="5"/>
  <c r="V104" i="5"/>
  <c r="R104" i="5" s="1"/>
  <c r="V105" i="5"/>
  <c r="V106" i="5"/>
  <c r="X106" i="5"/>
  <c r="V107" i="5"/>
  <c r="V108" i="5"/>
  <c r="V109" i="5"/>
  <c r="V110" i="5"/>
  <c r="V111" i="5"/>
  <c r="R111" i="5" s="1"/>
  <c r="V112" i="5"/>
  <c r="V113" i="5"/>
  <c r="V114" i="5"/>
  <c r="X114" i="5"/>
  <c r="V115" i="5"/>
  <c r="V116" i="5"/>
  <c r="V117" i="5"/>
  <c r="R117" i="5" s="1"/>
  <c r="V118" i="5"/>
  <c r="R118" i="5" s="1"/>
  <c r="V119" i="5"/>
  <c r="V120" i="5"/>
  <c r="V121" i="5"/>
  <c r="V122" i="5"/>
  <c r="R122" i="5" s="1"/>
  <c r="V123" i="5"/>
  <c r="V124" i="5"/>
  <c r="V125" i="5"/>
  <c r="V126" i="5"/>
  <c r="R126" i="5" s="1"/>
  <c r="V127" i="5"/>
  <c r="V128" i="5"/>
  <c r="V129" i="5"/>
  <c r="V130" i="5"/>
  <c r="X130" i="5"/>
  <c r="V131" i="5"/>
  <c r="V132" i="5"/>
  <c r="V133" i="5"/>
  <c r="R133" i="5" s="1"/>
  <c r="V134" i="5"/>
  <c r="X134" i="5"/>
  <c r="V135" i="5"/>
  <c r="V136" i="5"/>
  <c r="V137" i="5"/>
  <c r="V138" i="5"/>
  <c r="V139" i="5"/>
  <c r="R139" i="5" s="1"/>
  <c r="V140" i="5"/>
  <c r="R140" i="5" s="1"/>
  <c r="V141" i="5"/>
  <c r="V142" i="5"/>
  <c r="R142" i="5" s="1"/>
  <c r="V143" i="5"/>
  <c r="V144" i="5"/>
  <c r="V145" i="5"/>
  <c r="V146" i="5"/>
  <c r="X146" i="5"/>
  <c r="V147" i="5"/>
  <c r="R147" i="5" s="1"/>
  <c r="V148" i="5"/>
  <c r="V149" i="5"/>
  <c r="V150" i="5"/>
  <c r="X150" i="5"/>
  <c r="V151" i="5"/>
  <c r="V152" i="5"/>
  <c r="V153" i="5"/>
  <c r="R153" i="5" s="1"/>
  <c r="V154" i="5"/>
  <c r="R154" i="5" s="1"/>
  <c r="V155" i="5"/>
  <c r="V156" i="5"/>
  <c r="V157" i="5"/>
  <c r="V158" i="5"/>
  <c r="R158" i="5" s="1"/>
  <c r="V159" i="5"/>
  <c r="R159" i="5" s="1"/>
  <c r="V160" i="5"/>
  <c r="V161" i="5"/>
  <c r="R161" i="5" s="1"/>
  <c r="V162" i="5"/>
  <c r="R162" i="5" s="1"/>
  <c r="X162" i="5"/>
  <c r="V163" i="5"/>
  <c r="V164" i="5"/>
  <c r="V165" i="5"/>
  <c r="V166" i="5"/>
  <c r="R166" i="5" s="1"/>
  <c r="X166" i="5"/>
  <c r="V167" i="5"/>
  <c r="R167" i="5" s="1"/>
  <c r="V168" i="5"/>
  <c r="R168" i="5" s="1"/>
  <c r="V169" i="5"/>
  <c r="V170" i="5"/>
  <c r="X170" i="5"/>
  <c r="V171" i="5"/>
  <c r="R171" i="5" s="1"/>
  <c r="V172" i="5"/>
  <c r="V173" i="5"/>
  <c r="V174" i="5"/>
  <c r="V175" i="5"/>
  <c r="R175" i="5" s="1"/>
  <c r="V176" i="5"/>
  <c r="V177" i="5"/>
  <c r="V178" i="5"/>
  <c r="X178" i="5"/>
  <c r="V179" i="5"/>
  <c r="R179" i="5" s="1"/>
  <c r="V180" i="5"/>
  <c r="V181" i="5"/>
  <c r="R181" i="5" s="1"/>
  <c r="V182" i="5"/>
  <c r="R182" i="5" s="1"/>
  <c r="X182" i="5"/>
  <c r="V183" i="5"/>
  <c r="R183" i="5" s="1"/>
  <c r="V184" i="5"/>
  <c r="V185" i="5"/>
  <c r="R185" i="5" s="1"/>
  <c r="V186" i="5"/>
  <c r="V187" i="5"/>
  <c r="V188" i="5"/>
  <c r="V189" i="5"/>
  <c r="R189" i="5" s="1"/>
  <c r="V190" i="5"/>
  <c r="V191" i="5"/>
  <c r="V192" i="5"/>
  <c r="V193" i="5"/>
  <c r="R193" i="5" s="1"/>
  <c r="V194" i="5"/>
  <c r="V195" i="5"/>
  <c r="V196" i="5"/>
  <c r="V197" i="5"/>
  <c r="R197" i="5" s="1"/>
  <c r="V198" i="5"/>
  <c r="X198" i="5"/>
  <c r="V199" i="5"/>
  <c r="V200" i="5"/>
  <c r="V201" i="5"/>
  <c r="R201" i="5" s="1"/>
  <c r="V202" i="5"/>
  <c r="V203" i="5"/>
  <c r="R203" i="5" s="1"/>
  <c r="V204" i="5"/>
  <c r="R204" i="5" s="1"/>
  <c r="V205" i="5"/>
  <c r="V206" i="5"/>
  <c r="X206" i="5"/>
  <c r="V207" i="5"/>
  <c r="V208" i="5"/>
  <c r="V209" i="5"/>
  <c r="V210" i="5"/>
  <c r="R210" i="5" s="1"/>
  <c r="X210" i="5"/>
  <c r="V211" i="5"/>
  <c r="V212" i="5"/>
  <c r="V213" i="5"/>
  <c r="V214" i="5"/>
  <c r="R214" i="5" s="1"/>
  <c r="X214" i="5"/>
  <c r="V215" i="5"/>
  <c r="V216" i="5"/>
  <c r="V217" i="5"/>
  <c r="R217" i="5" s="1"/>
  <c r="V218" i="5"/>
  <c r="V219" i="5"/>
  <c r="R219" i="5" s="1"/>
  <c r="V220" i="5"/>
  <c r="V221" i="5"/>
  <c r="R221" i="5" s="1"/>
  <c r="V222" i="5"/>
  <c r="X222" i="5"/>
  <c r="V223" i="5"/>
  <c r="R223" i="5" s="1"/>
  <c r="V224" i="5"/>
  <c r="R224" i="5" s="1"/>
  <c r="V225" i="5"/>
  <c r="V226" i="5"/>
  <c r="X226" i="5"/>
  <c r="V227" i="5"/>
  <c r="R227" i="5" s="1"/>
  <c r="V228" i="5"/>
  <c r="V229" i="5"/>
  <c r="V230" i="5"/>
  <c r="R230" i="5" s="1"/>
  <c r="X230" i="5"/>
  <c r="V231" i="5"/>
  <c r="V232" i="5"/>
  <c r="V233" i="5"/>
  <c r="V234" i="5"/>
  <c r="X234" i="5"/>
  <c r="V235" i="5"/>
  <c r="V236" i="5"/>
  <c r="V237" i="5"/>
  <c r="R237" i="5" s="1"/>
  <c r="V238" i="5"/>
  <c r="X238" i="5"/>
  <c r="V239" i="5"/>
  <c r="V240" i="5"/>
  <c r="V241" i="5"/>
  <c r="R241" i="5" s="1"/>
  <c r="V242" i="5"/>
  <c r="V243" i="5"/>
  <c r="V244" i="5"/>
  <c r="R244" i="5" s="1"/>
  <c r="V245" i="5"/>
  <c r="V246" i="5"/>
  <c r="R246" i="5" s="1"/>
  <c r="X246" i="5"/>
  <c r="V247" i="5"/>
  <c r="V248" i="5"/>
  <c r="V249" i="5"/>
  <c r="V250" i="5"/>
  <c r="R250" i="5" s="1"/>
  <c r="X250" i="5"/>
  <c r="V251" i="5"/>
  <c r="V252" i="5"/>
  <c r="V253" i="5"/>
  <c r="V254" i="5"/>
  <c r="R254" i="5" s="1"/>
  <c r="X254" i="5"/>
  <c r="V255" i="5"/>
  <c r="V256" i="5"/>
  <c r="V257" i="5"/>
  <c r="R257" i="5" s="1"/>
  <c r="V258" i="5"/>
  <c r="X258" i="5"/>
  <c r="V259" i="5"/>
  <c r="V260" i="5"/>
  <c r="V261" i="5"/>
  <c r="V262" i="5"/>
  <c r="V263" i="5"/>
  <c r="V264" i="5"/>
  <c r="R264" i="5" s="1"/>
  <c r="V265" i="5"/>
  <c r="V266" i="5"/>
  <c r="X266" i="5"/>
  <c r="V267" i="5"/>
  <c r="R267" i="5" s="1"/>
  <c r="V268" i="5"/>
  <c r="V269" i="5"/>
  <c r="V270" i="5"/>
  <c r="R270" i="5" s="1"/>
  <c r="X270" i="5"/>
  <c r="V271" i="5"/>
  <c r="R271" i="5" s="1"/>
  <c r="V272" i="5"/>
  <c r="V273" i="5"/>
  <c r="V274" i="5"/>
  <c r="X274" i="5"/>
  <c r="V275" i="5"/>
  <c r="V276" i="5"/>
  <c r="V277" i="5"/>
  <c r="R277" i="5" s="1"/>
  <c r="V278" i="5"/>
  <c r="X278" i="5"/>
  <c r="V279" i="5"/>
  <c r="V280" i="5"/>
  <c r="V281" i="5"/>
  <c r="V282" i="5"/>
  <c r="X282" i="5"/>
  <c r="V283" i="5"/>
  <c r="R283" i="5" s="1"/>
  <c r="V284" i="5"/>
  <c r="V285" i="5"/>
  <c r="V286" i="5"/>
  <c r="X286" i="5"/>
  <c r="V287" i="5"/>
  <c r="V288" i="5"/>
  <c r="V289" i="5"/>
  <c r="V290" i="5"/>
  <c r="R290" i="5" s="1"/>
  <c r="V291" i="5"/>
  <c r="V292" i="5"/>
  <c r="V293" i="5"/>
  <c r="V294" i="5"/>
  <c r="R294" i="5" s="1"/>
  <c r="X294" i="5"/>
  <c r="V295" i="5"/>
  <c r="V296" i="5"/>
  <c r="V297" i="5"/>
  <c r="R297" i="5" s="1"/>
  <c r="V298" i="5"/>
  <c r="X298" i="5"/>
  <c r="V299" i="5"/>
  <c r="V300" i="5"/>
  <c r="V301" i="5"/>
  <c r="V302" i="5"/>
  <c r="X302" i="5"/>
  <c r="V303" i="5"/>
  <c r="V304" i="5"/>
  <c r="V305" i="5"/>
  <c r="V306" i="5"/>
  <c r="X306" i="5"/>
  <c r="V307" i="5"/>
  <c r="V308" i="5"/>
  <c r="V309" i="5"/>
  <c r="R309" i="5" s="1"/>
  <c r="V310" i="5"/>
  <c r="R310" i="5" s="1"/>
  <c r="X310" i="5"/>
  <c r="V311" i="5"/>
  <c r="V312" i="5"/>
  <c r="V313" i="5"/>
  <c r="V314" i="5"/>
  <c r="V315" i="5"/>
  <c r="V316" i="5"/>
  <c r="V317" i="5"/>
  <c r="R317" i="5" s="1"/>
  <c r="V318" i="5"/>
  <c r="V319" i="5"/>
  <c r="R319" i="5" s="1"/>
  <c r="V320" i="5"/>
  <c r="V321" i="5"/>
  <c r="V322" i="5"/>
  <c r="V323" i="5"/>
  <c r="V324" i="5"/>
  <c r="V325" i="5"/>
  <c r="R325" i="5" s="1"/>
  <c r="V326" i="5"/>
  <c r="X326" i="5"/>
  <c r="V327" i="5"/>
  <c r="V328" i="5"/>
  <c r="V329" i="5"/>
  <c r="R329" i="5" s="1"/>
  <c r="V330" i="5"/>
  <c r="V331" i="5"/>
  <c r="R331" i="5" s="1"/>
  <c r="V332" i="5"/>
  <c r="R332" i="5" s="1"/>
  <c r="V333" i="5"/>
  <c r="V334" i="5"/>
  <c r="E334" i="5"/>
  <c r="X334" i="5" s="1"/>
  <c r="V335" i="5"/>
  <c r="E335" i="5"/>
  <c r="X335" i="5" s="1"/>
  <c r="V336" i="5"/>
  <c r="E336" i="5"/>
  <c r="V337" i="5"/>
  <c r="E337" i="5"/>
  <c r="X337" i="5" s="1"/>
  <c r="V338" i="5"/>
  <c r="E338" i="5"/>
  <c r="X338" i="5" s="1"/>
  <c r="V339" i="5"/>
  <c r="E339" i="5"/>
  <c r="V340" i="5"/>
  <c r="E340" i="5"/>
  <c r="V341" i="5"/>
  <c r="E341" i="5"/>
  <c r="X341" i="5" s="1"/>
  <c r="V342" i="5"/>
  <c r="E342" i="5"/>
  <c r="X342" i="5" s="1"/>
  <c r="V343" i="5"/>
  <c r="E343" i="5"/>
  <c r="X343" i="5" s="1"/>
  <c r="V344" i="5"/>
  <c r="E344" i="5"/>
  <c r="X344" i="5" s="1"/>
  <c r="V345" i="5"/>
  <c r="E345" i="5"/>
  <c r="X345" i="5" s="1"/>
  <c r="V346" i="5"/>
  <c r="E346" i="5"/>
  <c r="X346" i="5" s="1"/>
  <c r="V347" i="5"/>
  <c r="E347" i="5"/>
  <c r="V348" i="5"/>
  <c r="E348" i="5"/>
  <c r="X348" i="5" s="1"/>
  <c r="V349" i="5"/>
  <c r="E349" i="5"/>
  <c r="X349" i="5" s="1"/>
  <c r="V350" i="5"/>
  <c r="E350" i="5"/>
  <c r="X350" i="5" s="1"/>
  <c r="V351" i="5"/>
  <c r="E351" i="5"/>
  <c r="X351" i="5" s="1"/>
  <c r="V352" i="5"/>
  <c r="E352" i="5"/>
  <c r="X352" i="5" s="1"/>
  <c r="V353" i="5"/>
  <c r="E353" i="5"/>
  <c r="X353" i="5" s="1"/>
  <c r="V354" i="5"/>
  <c r="E354" i="5"/>
  <c r="X354" i="5" s="1"/>
  <c r="V355" i="5"/>
  <c r="E355" i="5"/>
  <c r="V356" i="5"/>
  <c r="E356" i="5"/>
  <c r="X356" i="5" s="1"/>
  <c r="V357" i="5"/>
  <c r="E357" i="5"/>
  <c r="X357" i="5" s="1"/>
  <c r="V358" i="5"/>
  <c r="E358" i="5"/>
  <c r="X358" i="5" s="1"/>
  <c r="V359" i="5"/>
  <c r="E359" i="5"/>
  <c r="V360" i="5"/>
  <c r="E360" i="5"/>
  <c r="X360" i="5" s="1"/>
  <c r="V361" i="5"/>
  <c r="E361" i="5"/>
  <c r="X361" i="5" s="1"/>
  <c r="V362" i="5"/>
  <c r="E362" i="5"/>
  <c r="X362" i="5" s="1"/>
  <c r="V363" i="5"/>
  <c r="E363" i="5"/>
  <c r="X363" i="5" s="1"/>
  <c r="V364" i="5"/>
  <c r="E364" i="5"/>
  <c r="V365" i="5"/>
  <c r="E365" i="5"/>
  <c r="X365" i="5" s="1"/>
  <c r="V366" i="5"/>
  <c r="E366" i="5"/>
  <c r="X366" i="5" s="1"/>
  <c r="V367" i="5"/>
  <c r="E367" i="5"/>
  <c r="V368" i="5"/>
  <c r="E368" i="5"/>
  <c r="X368" i="5" s="1"/>
  <c r="V369" i="5"/>
  <c r="E369" i="5"/>
  <c r="X369" i="5" s="1"/>
  <c r="V370" i="5"/>
  <c r="E370" i="5"/>
  <c r="X370" i="5" s="1"/>
  <c r="V371" i="5"/>
  <c r="E371" i="5"/>
  <c r="X371" i="5" s="1"/>
  <c r="V372" i="5"/>
  <c r="E372" i="5"/>
  <c r="X372" i="5" s="1"/>
  <c r="V373" i="5"/>
  <c r="E373" i="5"/>
  <c r="X373" i="5" s="1"/>
  <c r="V374" i="5"/>
  <c r="E374" i="5"/>
  <c r="X374" i="5" s="1"/>
  <c r="V375" i="5"/>
  <c r="E375" i="5"/>
  <c r="V376" i="5"/>
  <c r="E376" i="5"/>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X389" i="5" s="1"/>
  <c r="V390" i="5"/>
  <c r="E390" i="5"/>
  <c r="X390" i="5" s="1"/>
  <c r="V391" i="5"/>
  <c r="E391" i="5"/>
  <c r="V392" i="5"/>
  <c r="E392" i="5"/>
  <c r="X392" i="5" s="1"/>
  <c r="V393" i="5"/>
  <c r="E393" i="5"/>
  <c r="X393" i="5" s="1"/>
  <c r="V394" i="5"/>
  <c r="E394" i="5"/>
  <c r="X394" i="5" s="1"/>
  <c r="V395" i="5"/>
  <c r="E395" i="5"/>
  <c r="V396" i="5"/>
  <c r="E396" i="5"/>
  <c r="X396" i="5" s="1"/>
  <c r="V397" i="5"/>
  <c r="E397" i="5"/>
  <c r="X397" i="5" s="1"/>
  <c r="V398" i="5"/>
  <c r="E398" i="5"/>
  <c r="X398" i="5" s="1"/>
  <c r="V399" i="5"/>
  <c r="E399" i="5"/>
  <c r="X399" i="5" s="1"/>
  <c r="V400" i="5"/>
  <c r="E400" i="5"/>
  <c r="X400" i="5" s="1"/>
  <c r="V401" i="5"/>
  <c r="E401" i="5"/>
  <c r="X401" i="5" s="1"/>
  <c r="V402" i="5"/>
  <c r="E402" i="5"/>
  <c r="X402" i="5" s="1"/>
  <c r="V403" i="5"/>
  <c r="E403" i="5"/>
  <c r="V404" i="5"/>
  <c r="E404" i="5"/>
  <c r="X404" i="5" s="1"/>
  <c r="V405" i="5"/>
  <c r="E405" i="5"/>
  <c r="X405" i="5" s="1"/>
  <c r="V406" i="5"/>
  <c r="E406" i="5"/>
  <c r="X406" i="5" s="1"/>
  <c r="V407" i="5"/>
  <c r="E407" i="5"/>
  <c r="V408" i="5"/>
  <c r="E408" i="5"/>
  <c r="X408" i="5" s="1"/>
  <c r="V409" i="5"/>
  <c r="E409" i="5"/>
  <c r="X409" i="5" s="1"/>
  <c r="V410" i="5"/>
  <c r="E410" i="5"/>
  <c r="X410" i="5" s="1"/>
  <c r="V411" i="5"/>
  <c r="E411" i="5"/>
  <c r="V412" i="5"/>
  <c r="E412" i="5"/>
  <c r="X412" i="5" s="1"/>
  <c r="V413" i="5"/>
  <c r="E413" i="5"/>
  <c r="X413" i="5" s="1"/>
  <c r="V414" i="5"/>
  <c r="E414" i="5"/>
  <c r="X414" i="5" s="1"/>
  <c r="V415" i="5"/>
  <c r="E415" i="5"/>
  <c r="V416" i="5"/>
  <c r="E416" i="5"/>
  <c r="X416" i="5" s="1"/>
  <c r="V417" i="5"/>
  <c r="E417" i="5"/>
  <c r="X417" i="5" s="1"/>
  <c r="V418" i="5"/>
  <c r="E418" i="5"/>
  <c r="X418" i="5" s="1"/>
  <c r="V419" i="5"/>
  <c r="E419" i="5"/>
  <c r="V420" i="5"/>
  <c r="E420" i="5"/>
  <c r="X420" i="5" s="1"/>
  <c r="V421" i="5"/>
  <c r="E421" i="5"/>
  <c r="X421" i="5" s="1"/>
  <c r="V422" i="5"/>
  <c r="E422" i="5"/>
  <c r="X422" i="5" s="1"/>
  <c r="V423" i="5"/>
  <c r="E423" i="5"/>
  <c r="V424" i="5"/>
  <c r="E424" i="5"/>
  <c r="X424" i="5" s="1"/>
  <c r="V425" i="5"/>
  <c r="E425" i="5"/>
  <c r="X425" i="5" s="1"/>
  <c r="V426" i="5"/>
  <c r="E426" i="5"/>
  <c r="X426" i="5" s="1"/>
  <c r="V427" i="5"/>
  <c r="E427" i="5"/>
  <c r="V428" i="5"/>
  <c r="E428" i="5"/>
  <c r="X428" i="5" s="1"/>
  <c r="V429" i="5"/>
  <c r="E429" i="5"/>
  <c r="X429" i="5" s="1"/>
  <c r="V430" i="5"/>
  <c r="E430" i="5"/>
  <c r="X430" i="5" s="1"/>
  <c r="V431" i="5"/>
  <c r="E431" i="5"/>
  <c r="V432" i="5"/>
  <c r="E432" i="5"/>
  <c r="X432" i="5" s="1"/>
  <c r="V433" i="5"/>
  <c r="E433" i="5"/>
  <c r="X433" i="5" s="1"/>
  <c r="V434" i="5"/>
  <c r="E434" i="5"/>
  <c r="X434" i="5" s="1"/>
  <c r="V435" i="5"/>
  <c r="E435" i="5"/>
  <c r="V436" i="5"/>
  <c r="E436" i="5"/>
  <c r="X436" i="5" s="1"/>
  <c r="V437" i="5"/>
  <c r="E437" i="5"/>
  <c r="X437" i="5" s="1"/>
  <c r="V438" i="5"/>
  <c r="E438" i="5"/>
  <c r="X438" i="5" s="1"/>
  <c r="V439" i="5"/>
  <c r="E439" i="5"/>
  <c r="V440" i="5"/>
  <c r="E440" i="5"/>
  <c r="X440" i="5" s="1"/>
  <c r="V441" i="5"/>
  <c r="E441" i="5"/>
  <c r="X441" i="5" s="1"/>
  <c r="V442" i="5"/>
  <c r="E442" i="5"/>
  <c r="X442" i="5" s="1"/>
  <c r="V443" i="5"/>
  <c r="E443" i="5"/>
  <c r="V444" i="5"/>
  <c r="E444" i="5"/>
  <c r="V445" i="5"/>
  <c r="E445" i="5"/>
  <c r="X445" i="5" s="1"/>
  <c r="V446" i="5"/>
  <c r="E446" i="5"/>
  <c r="X446" i="5" s="1"/>
  <c r="V447" i="5"/>
  <c r="E447" i="5"/>
  <c r="V448" i="5"/>
  <c r="E448" i="5"/>
  <c r="X448" i="5" s="1"/>
  <c r="V449" i="5"/>
  <c r="E449" i="5"/>
  <c r="X449" i="5" s="1"/>
  <c r="V450" i="5"/>
  <c r="E450" i="5"/>
  <c r="X450" i="5" s="1"/>
  <c r="V451" i="5"/>
  <c r="E451" i="5"/>
  <c r="V452" i="5"/>
  <c r="E452" i="5"/>
  <c r="X452" i="5" s="1"/>
  <c r="V453" i="5"/>
  <c r="E453" i="5"/>
  <c r="X453" i="5" s="1"/>
  <c r="V454" i="5"/>
  <c r="E454" i="5"/>
  <c r="X454" i="5" s="1"/>
  <c r="V455" i="5"/>
  <c r="E455" i="5"/>
  <c r="X455" i="5" s="1"/>
  <c r="V456" i="5"/>
  <c r="E456" i="5"/>
  <c r="V457" i="5"/>
  <c r="E457" i="5"/>
  <c r="X457" i="5" s="1"/>
  <c r="V458" i="5"/>
  <c r="E458" i="5"/>
  <c r="X458" i="5" s="1"/>
  <c r="V459" i="5"/>
  <c r="E459" i="5"/>
  <c r="X459" i="5" s="1"/>
  <c r="V460" i="5"/>
  <c r="E460" i="5"/>
  <c r="V461" i="5"/>
  <c r="E461" i="5"/>
  <c r="X461" i="5" s="1"/>
  <c r="V462" i="5"/>
  <c r="E462" i="5"/>
  <c r="X462" i="5" s="1"/>
  <c r="V463" i="5"/>
  <c r="E463" i="5"/>
  <c r="V464" i="5"/>
  <c r="E464" i="5"/>
  <c r="X464" i="5" s="1"/>
  <c r="V465" i="5"/>
  <c r="E465" i="5"/>
  <c r="X465" i="5" s="1"/>
  <c r="V466" i="5"/>
  <c r="E466" i="5"/>
  <c r="X466" i="5" s="1"/>
  <c r="V467" i="5"/>
  <c r="E467" i="5"/>
  <c r="V468" i="5"/>
  <c r="E468" i="5"/>
  <c r="X468" i="5" s="1"/>
  <c r="V469" i="5"/>
  <c r="E469" i="5"/>
  <c r="X469" i="5" s="1"/>
  <c r="V470" i="5"/>
  <c r="E470" i="5"/>
  <c r="X470" i="5" s="1"/>
  <c r="V471" i="5"/>
  <c r="E471" i="5"/>
  <c r="X471" i="5" s="1"/>
  <c r="V472" i="5"/>
  <c r="E472" i="5"/>
  <c r="V473" i="5"/>
  <c r="E473" i="5"/>
  <c r="X473" i="5" s="1"/>
  <c r="V474" i="5"/>
  <c r="E474" i="5"/>
  <c r="X474" i="5" s="1"/>
  <c r="V475" i="5"/>
  <c r="E475" i="5"/>
  <c r="V476" i="5"/>
  <c r="E476" i="5"/>
  <c r="X476" i="5" s="1"/>
  <c r="V477" i="5"/>
  <c r="E477" i="5"/>
  <c r="X477" i="5" s="1"/>
  <c r="V478" i="5"/>
  <c r="E478" i="5"/>
  <c r="X478" i="5" s="1"/>
  <c r="V479" i="5"/>
  <c r="E479" i="5"/>
  <c r="X479" i="5" s="1"/>
  <c r="V480" i="5"/>
  <c r="E480" i="5"/>
  <c r="X480" i="5" s="1"/>
  <c r="V481" i="5"/>
  <c r="E481" i="5"/>
  <c r="X481" i="5" s="1"/>
  <c r="V482" i="5"/>
  <c r="E482" i="5"/>
  <c r="X482" i="5" s="1"/>
  <c r="V483" i="5"/>
  <c r="E483" i="5"/>
  <c r="V484" i="5"/>
  <c r="E484" i="5"/>
  <c r="V485" i="5"/>
  <c r="E485" i="5"/>
  <c r="X485" i="5" s="1"/>
  <c r="V486" i="5"/>
  <c r="E486" i="5"/>
  <c r="X486" i="5" s="1"/>
  <c r="V487" i="5"/>
  <c r="E487" i="5"/>
  <c r="X487" i="5" s="1"/>
  <c r="V488" i="5"/>
  <c r="E488" i="5"/>
  <c r="V489" i="5"/>
  <c r="E489" i="5"/>
  <c r="X489" i="5" s="1"/>
  <c r="V490" i="5"/>
  <c r="E490" i="5"/>
  <c r="X490" i="5" s="1"/>
  <c r="V491" i="5"/>
  <c r="E491" i="5"/>
  <c r="X491" i="5" s="1"/>
  <c r="V492" i="5"/>
  <c r="E492" i="5"/>
  <c r="X492" i="5" s="1"/>
  <c r="V493" i="5"/>
  <c r="E493" i="5"/>
  <c r="X493" i="5" s="1"/>
  <c r="V494" i="5"/>
  <c r="E494" i="5"/>
  <c r="X494" i="5" s="1"/>
  <c r="V495" i="5"/>
  <c r="E495" i="5"/>
  <c r="X495" i="5" s="1"/>
  <c r="V496" i="5"/>
  <c r="E496" i="5"/>
  <c r="V497" i="5"/>
  <c r="E497" i="5"/>
  <c r="X497" i="5" s="1"/>
  <c r="V498" i="5"/>
  <c r="E498" i="5"/>
  <c r="X498" i="5" s="1"/>
  <c r="V499" i="5"/>
  <c r="E499" i="5"/>
  <c r="X499" i="5" s="1"/>
  <c r="V500" i="5"/>
  <c r="E500" i="5"/>
  <c r="X500" i="5" s="1"/>
  <c r="V501" i="5"/>
  <c r="E501" i="5"/>
  <c r="X501" i="5" s="1"/>
  <c r="V502" i="5"/>
  <c r="E502" i="5"/>
  <c r="X502" i="5" s="1"/>
  <c r="V503" i="5"/>
  <c r="E503" i="5"/>
  <c r="X503" i="5" s="1"/>
  <c r="V504" i="5"/>
  <c r="E504" i="5"/>
  <c r="V505" i="5"/>
  <c r="E505" i="5"/>
  <c r="X505" i="5" s="1"/>
  <c r="V506" i="5"/>
  <c r="E506" i="5"/>
  <c r="X506" i="5" s="1"/>
  <c r="V507" i="5"/>
  <c r="E507" i="5"/>
  <c r="X507" i="5" s="1"/>
  <c r="V508" i="5"/>
  <c r="E508" i="5"/>
  <c r="X508" i="5" s="1"/>
  <c r="V509" i="5"/>
  <c r="E509" i="5"/>
  <c r="X509" i="5" s="1"/>
  <c r="V510" i="5"/>
  <c r="E510" i="5"/>
  <c r="X510" i="5" s="1"/>
  <c r="V511" i="5"/>
  <c r="E511" i="5"/>
  <c r="X511" i="5" s="1"/>
  <c r="V512" i="5"/>
  <c r="E512" i="5"/>
  <c r="X512" i="5" s="1"/>
  <c r="V513" i="5"/>
  <c r="E513" i="5"/>
  <c r="X513" i="5" s="1"/>
  <c r="V514" i="5"/>
  <c r="E514" i="5"/>
  <c r="X514" i="5" s="1"/>
  <c r="V515" i="5"/>
  <c r="E515" i="5"/>
  <c r="X515" i="5" s="1"/>
  <c r="V516" i="5"/>
  <c r="E516" i="5"/>
  <c r="V517" i="5"/>
  <c r="E517" i="5"/>
  <c r="X517" i="5" s="1"/>
  <c r="V518" i="5"/>
  <c r="E518" i="5"/>
  <c r="X518" i="5" s="1"/>
  <c r="V519" i="5"/>
  <c r="E519" i="5"/>
  <c r="X519" i="5" s="1"/>
  <c r="V520" i="5"/>
  <c r="E520" i="5"/>
  <c r="V521" i="5"/>
  <c r="E521" i="5"/>
  <c r="X521" i="5" s="1"/>
  <c r="V522" i="5"/>
  <c r="E522" i="5"/>
  <c r="X522" i="5" s="1"/>
  <c r="V523" i="5"/>
  <c r="E523" i="5"/>
  <c r="X523" i="5" s="1"/>
  <c r="V524" i="5"/>
  <c r="E524" i="5"/>
  <c r="X524" i="5" s="1"/>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X545" i="5" s="1"/>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X554" i="5" s="1"/>
  <c r="V555" i="5"/>
  <c r="E555" i="5"/>
  <c r="X555" i="5" s="1"/>
  <c r="V556" i="5"/>
  <c r="E556" i="5"/>
  <c r="X556" i="5" s="1"/>
  <c r="V557" i="5"/>
  <c r="E557" i="5"/>
  <c r="X557" i="5" s="1"/>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V568" i="5"/>
  <c r="E568" i="5"/>
  <c r="X568" i="5" s="1"/>
  <c r="V569" i="5"/>
  <c r="E569" i="5"/>
  <c r="X569" i="5" s="1"/>
  <c r="V570" i="5"/>
  <c r="E570" i="5"/>
  <c r="X570" i="5" s="1"/>
  <c r="V571" i="5"/>
  <c r="E571" i="5"/>
  <c r="V572" i="5"/>
  <c r="E572" i="5"/>
  <c r="X572" i="5" s="1"/>
  <c r="V573" i="5"/>
  <c r="E573" i="5"/>
  <c r="X573" i="5" s="1"/>
  <c r="V574" i="5"/>
  <c r="E574" i="5"/>
  <c r="X574" i="5" s="1"/>
  <c r="V575" i="5"/>
  <c r="E575" i="5"/>
  <c r="V576" i="5"/>
  <c r="E576" i="5"/>
  <c r="V577" i="5"/>
  <c r="E577" i="5"/>
  <c r="X577" i="5" s="1"/>
  <c r="V578" i="5"/>
  <c r="E578" i="5"/>
  <c r="X578" i="5" s="1"/>
  <c r="V579" i="5"/>
  <c r="E579" i="5"/>
  <c r="V580" i="5"/>
  <c r="E580" i="5"/>
  <c r="V581" i="5"/>
  <c r="E581" i="5"/>
  <c r="X581" i="5" s="1"/>
  <c r="V582" i="5"/>
  <c r="E582" i="5"/>
  <c r="X582" i="5" s="1"/>
  <c r="V583" i="5"/>
  <c r="E583" i="5"/>
  <c r="V584" i="5"/>
  <c r="E584" i="5"/>
  <c r="X584" i="5" s="1"/>
  <c r="V585" i="5"/>
  <c r="E585" i="5"/>
  <c r="X585" i="5" s="1"/>
  <c r="V586" i="5"/>
  <c r="E586" i="5"/>
  <c r="X586" i="5" s="1"/>
  <c r="V587" i="5"/>
  <c r="E587" i="5"/>
  <c r="V588" i="5"/>
  <c r="E588" i="5"/>
  <c r="X588" i="5" s="1"/>
  <c r="V589" i="5"/>
  <c r="E589" i="5"/>
  <c r="X589" i="5" s="1"/>
  <c r="V590" i="5"/>
  <c r="E590" i="5"/>
  <c r="X590" i="5" s="1"/>
  <c r="V591" i="5"/>
  <c r="E591" i="5"/>
  <c r="V592" i="5"/>
  <c r="E592" i="5"/>
  <c r="V593" i="5"/>
  <c r="E593" i="5"/>
  <c r="X593" i="5" s="1"/>
  <c r="V594" i="5"/>
  <c r="E594" i="5"/>
  <c r="X594" i="5" s="1"/>
  <c r="V595" i="5"/>
  <c r="E595" i="5"/>
  <c r="V596" i="5"/>
  <c r="E596" i="5"/>
  <c r="V597" i="5"/>
  <c r="E597" i="5"/>
  <c r="X597" i="5" s="1"/>
  <c r="V598" i="5"/>
  <c r="E598" i="5"/>
  <c r="X598" i="5" s="1"/>
  <c r="V599" i="5"/>
  <c r="E599" i="5"/>
  <c r="V600" i="5"/>
  <c r="E600" i="5"/>
  <c r="V601" i="5"/>
  <c r="E601" i="5"/>
  <c r="X601" i="5" s="1"/>
  <c r="V602" i="5"/>
  <c r="E602" i="5"/>
  <c r="X602" i="5" s="1"/>
  <c r="V603" i="5"/>
  <c r="E603" i="5"/>
  <c r="V604" i="5"/>
  <c r="E604" i="5"/>
  <c r="X604" i="5" s="1"/>
  <c r="V605" i="5"/>
  <c r="E605" i="5"/>
  <c r="X605" i="5" s="1"/>
  <c r="V606" i="5"/>
  <c r="E606" i="5"/>
  <c r="X606" i="5" s="1"/>
  <c r="V607" i="5"/>
  <c r="E607" i="5"/>
  <c r="V608" i="5"/>
  <c r="E608" i="5"/>
  <c r="V609" i="5"/>
  <c r="E609" i="5"/>
  <c r="X609" i="5" s="1"/>
  <c r="V610" i="5"/>
  <c r="E610" i="5"/>
  <c r="X610" i="5" s="1"/>
  <c r="V611" i="5"/>
  <c r="E611" i="5"/>
  <c r="V612" i="5"/>
  <c r="E612" i="5"/>
  <c r="X612" i="5" s="1"/>
  <c r="V613" i="5"/>
  <c r="E613" i="5"/>
  <c r="X613" i="5" s="1"/>
  <c r="V614" i="5"/>
  <c r="E614" i="5"/>
  <c r="X614" i="5" s="1"/>
  <c r="V615" i="5"/>
  <c r="E615" i="5"/>
  <c r="V616" i="5"/>
  <c r="E616" i="5"/>
  <c r="X616" i="5" s="1"/>
  <c r="V617" i="5"/>
  <c r="E617" i="5"/>
  <c r="X617" i="5" s="1"/>
  <c r="V618" i="5"/>
  <c r="E618" i="5"/>
  <c r="X618" i="5" s="1"/>
  <c r="V619" i="5"/>
  <c r="E619" i="5"/>
  <c r="V620" i="5"/>
  <c r="E620" i="5"/>
  <c r="X620" i="5" s="1"/>
  <c r="V621" i="5"/>
  <c r="E621" i="5"/>
  <c r="X621" i="5" s="1"/>
  <c r="V622" i="5"/>
  <c r="E622" i="5"/>
  <c r="X622" i="5" s="1"/>
  <c r="V623" i="5"/>
  <c r="E623" i="5"/>
  <c r="V624" i="5"/>
  <c r="E624" i="5"/>
  <c r="X624" i="5" s="1"/>
  <c r="V625" i="5"/>
  <c r="E625" i="5"/>
  <c r="X625" i="5" s="1"/>
  <c r="V626" i="5"/>
  <c r="E626" i="5"/>
  <c r="X626" i="5" s="1"/>
  <c r="V627" i="5"/>
  <c r="E627" i="5"/>
  <c r="V628" i="5"/>
  <c r="E628" i="5"/>
  <c r="X628" i="5" s="1"/>
  <c r="V629" i="5"/>
  <c r="E629" i="5"/>
  <c r="X629" i="5" s="1"/>
  <c r="V630" i="5"/>
  <c r="E630" i="5"/>
  <c r="X630" i="5" s="1"/>
  <c r="V631" i="5"/>
  <c r="E631" i="5"/>
  <c r="V632" i="5"/>
  <c r="E632" i="5"/>
  <c r="V633" i="5"/>
  <c r="E633" i="5"/>
  <c r="X633" i="5" s="1"/>
  <c r="V634" i="5"/>
  <c r="E634" i="5"/>
  <c r="X634" i="5" s="1"/>
  <c r="V635" i="5"/>
  <c r="E635" i="5"/>
  <c r="V636" i="5"/>
  <c r="E636" i="5"/>
  <c r="X636" i="5" s="1"/>
  <c r="V637" i="5"/>
  <c r="E637" i="5"/>
  <c r="X637" i="5" s="1"/>
  <c r="V638" i="5"/>
  <c r="E638" i="5"/>
  <c r="X638" i="5" s="1"/>
  <c r="V639" i="5"/>
  <c r="E639" i="5"/>
  <c r="V640" i="5"/>
  <c r="E640" i="5"/>
  <c r="X640" i="5" s="1"/>
  <c r="V641" i="5"/>
  <c r="E641" i="5"/>
  <c r="X641" i="5" s="1"/>
  <c r="V642" i="5"/>
  <c r="E642" i="5"/>
  <c r="X642" i="5" s="1"/>
  <c r="V643" i="5"/>
  <c r="E643" i="5"/>
  <c r="V644" i="5"/>
  <c r="E644" i="5"/>
  <c r="V645" i="5"/>
  <c r="E645" i="5"/>
  <c r="X645" i="5" s="1"/>
  <c r="V646" i="5"/>
  <c r="E646" i="5"/>
  <c r="X646" i="5" s="1"/>
  <c r="V647" i="5"/>
  <c r="E647" i="5"/>
  <c r="X647" i="5" s="1"/>
  <c r="V648" i="5"/>
  <c r="E648" i="5"/>
  <c r="V649" i="5"/>
  <c r="E649" i="5"/>
  <c r="X649" i="5" s="1"/>
  <c r="V650" i="5"/>
  <c r="E650" i="5"/>
  <c r="X650" i="5" s="1"/>
  <c r="V651" i="5"/>
  <c r="E651" i="5"/>
  <c r="V652" i="5"/>
  <c r="E652" i="5"/>
  <c r="X652" i="5" s="1"/>
  <c r="V653" i="5"/>
  <c r="E653" i="5"/>
  <c r="X653" i="5" s="1"/>
  <c r="V654" i="5"/>
  <c r="E654" i="5"/>
  <c r="X654" i="5" s="1"/>
  <c r="V655" i="5"/>
  <c r="E655" i="5"/>
  <c r="V656" i="5"/>
  <c r="E656" i="5"/>
  <c r="X656" i="5" s="1"/>
  <c r="V657" i="5"/>
  <c r="E657" i="5"/>
  <c r="X657" i="5" s="1"/>
  <c r="V658" i="5"/>
  <c r="E658" i="5"/>
  <c r="X658" i="5" s="1"/>
  <c r="V659" i="5"/>
  <c r="E659" i="5"/>
  <c r="V660" i="5"/>
  <c r="E660" i="5"/>
  <c r="X660" i="5" s="1"/>
  <c r="V661" i="5"/>
  <c r="E661" i="5"/>
  <c r="X661" i="5" s="1"/>
  <c r="V662" i="5"/>
  <c r="E662" i="5"/>
  <c r="X662" i="5" s="1"/>
  <c r="V663" i="5"/>
  <c r="E663" i="5"/>
  <c r="X663" i="5" s="1"/>
  <c r="V664" i="5"/>
  <c r="E664" i="5"/>
  <c r="V665" i="5"/>
  <c r="E665" i="5"/>
  <c r="X665" i="5" s="1"/>
  <c r="V666" i="5"/>
  <c r="E666" i="5"/>
  <c r="X666" i="5" s="1"/>
  <c r="V667" i="5"/>
  <c r="E667" i="5"/>
  <c r="V668" i="5"/>
  <c r="E668" i="5"/>
  <c r="X668" i="5" s="1"/>
  <c r="V669" i="5"/>
  <c r="E669" i="5"/>
  <c r="X669" i="5" s="1"/>
  <c r="V670" i="5"/>
  <c r="E670" i="5"/>
  <c r="X670" i="5" s="1"/>
  <c r="V671" i="5"/>
  <c r="E671" i="5"/>
  <c r="V672" i="5"/>
  <c r="E672" i="5"/>
  <c r="X672" i="5" s="1"/>
  <c r="V673" i="5"/>
  <c r="E673" i="5"/>
  <c r="X673" i="5" s="1"/>
  <c r="V674" i="5"/>
  <c r="E674" i="5"/>
  <c r="X674" i="5" s="1"/>
  <c r="V675" i="5"/>
  <c r="E675" i="5"/>
  <c r="V676" i="5"/>
  <c r="E676" i="5"/>
  <c r="X676" i="5" s="1"/>
  <c r="V677" i="5"/>
  <c r="E677" i="5"/>
  <c r="X677" i="5" s="1"/>
  <c r="V678" i="5"/>
  <c r="E678" i="5"/>
  <c r="X678" i="5" s="1"/>
  <c r="V679" i="5"/>
  <c r="E679" i="5"/>
  <c r="V680" i="5"/>
  <c r="E680" i="5"/>
  <c r="V681" i="5"/>
  <c r="E681" i="5"/>
  <c r="X681" i="5" s="1"/>
  <c r="V682" i="5"/>
  <c r="E682" i="5"/>
  <c r="X682" i="5" s="1"/>
  <c r="V683" i="5"/>
  <c r="E683" i="5"/>
  <c r="X683" i="5" s="1"/>
  <c r="V684" i="5"/>
  <c r="E684" i="5"/>
  <c r="V685" i="5"/>
  <c r="E685" i="5"/>
  <c r="X685" i="5" s="1"/>
  <c r="V686" i="5"/>
  <c r="E686" i="5"/>
  <c r="X686" i="5" s="1"/>
  <c r="V687" i="5"/>
  <c r="E687" i="5"/>
  <c r="V688" i="5"/>
  <c r="E688" i="5"/>
  <c r="X688" i="5" s="1"/>
  <c r="V689" i="5"/>
  <c r="E689" i="5"/>
  <c r="X689" i="5" s="1"/>
  <c r="V690" i="5"/>
  <c r="E690" i="5"/>
  <c r="X690" i="5" s="1"/>
  <c r="V691" i="5"/>
  <c r="E691" i="5"/>
  <c r="X691" i="5" s="1"/>
  <c r="V692" i="5"/>
  <c r="E692" i="5"/>
  <c r="X692" i="5" s="1"/>
  <c r="V693" i="5"/>
  <c r="E693" i="5"/>
  <c r="X693" i="5" s="1"/>
  <c r="V694" i="5"/>
  <c r="E694" i="5"/>
  <c r="X694" i="5" s="1"/>
  <c r="V695" i="5"/>
  <c r="E695" i="5"/>
  <c r="X695" i="5" s="1"/>
  <c r="V696" i="5"/>
  <c r="E696" i="5"/>
  <c r="V697" i="5"/>
  <c r="E697" i="5"/>
  <c r="X697" i="5" s="1"/>
  <c r="V698" i="5"/>
  <c r="E698" i="5"/>
  <c r="X698" i="5" s="1"/>
  <c r="V699" i="5"/>
  <c r="E699" i="5"/>
  <c r="X699" i="5" s="1"/>
  <c r="V700" i="5"/>
  <c r="E700" i="5"/>
  <c r="X700" i="5" s="1"/>
  <c r="V701" i="5"/>
  <c r="E701" i="5"/>
  <c r="X701" i="5" s="1"/>
  <c r="V702" i="5"/>
  <c r="E702" i="5"/>
  <c r="X702" i="5" s="1"/>
  <c r="V703" i="5"/>
  <c r="E703" i="5"/>
  <c r="V704" i="5"/>
  <c r="E704" i="5"/>
  <c r="X704" i="5" s="1"/>
  <c r="V705" i="5"/>
  <c r="E705" i="5"/>
  <c r="X705" i="5" s="1"/>
  <c r="V706" i="5"/>
  <c r="E706" i="5"/>
  <c r="X706" i="5" s="1"/>
  <c r="V707" i="5"/>
  <c r="E707" i="5"/>
  <c r="X707" i="5" s="1"/>
  <c r="V708" i="5"/>
  <c r="E708" i="5"/>
  <c r="X708" i="5" s="1"/>
  <c r="V709" i="5"/>
  <c r="E709" i="5"/>
  <c r="X709" i="5" s="1"/>
  <c r="V710" i="5"/>
  <c r="E710" i="5"/>
  <c r="X710" i="5" s="1"/>
  <c r="V711" i="5"/>
  <c r="E711" i="5"/>
  <c r="X711" i="5" s="1"/>
  <c r="V712" i="5"/>
  <c r="E712" i="5"/>
  <c r="V713" i="5"/>
  <c r="E713" i="5"/>
  <c r="X713" i="5" s="1"/>
  <c r="V714" i="5"/>
  <c r="E714" i="5"/>
  <c r="X714" i="5" s="1"/>
  <c r="V715" i="5"/>
  <c r="E715" i="5"/>
  <c r="X715" i="5" s="1"/>
  <c r="V716" i="5"/>
  <c r="E716" i="5"/>
  <c r="X716" i="5" s="1"/>
  <c r="V717" i="5"/>
  <c r="E717" i="5"/>
  <c r="X717" i="5" s="1"/>
  <c r="V718" i="5"/>
  <c r="E718" i="5"/>
  <c r="X718" i="5" s="1"/>
  <c r="V719" i="5"/>
  <c r="E719" i="5"/>
  <c r="X719" i="5" s="1"/>
  <c r="V720" i="5"/>
  <c r="E720" i="5"/>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X749" i="5" s="1"/>
  <c r="V750" i="5"/>
  <c r="E750" i="5"/>
  <c r="X750" i="5" s="1"/>
  <c r="V751" i="5"/>
  <c r="E751" i="5"/>
  <c r="X751" i="5" s="1"/>
  <c r="V752" i="5"/>
  <c r="E752" i="5"/>
  <c r="X752" i="5" s="1"/>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X791" i="5" s="1"/>
  <c r="V792" i="5"/>
  <c r="E792" i="5"/>
  <c r="X792" i="5" s="1"/>
  <c r="V793" i="5"/>
  <c r="E793" i="5"/>
  <c r="X793" i="5" s="1"/>
  <c r="V794" i="5"/>
  <c r="E794" i="5"/>
  <c r="X794" i="5" s="1"/>
  <c r="V795" i="5"/>
  <c r="E795" i="5"/>
  <c r="X795" i="5" s="1"/>
  <c r="V796" i="5"/>
  <c r="E796" i="5"/>
  <c r="X796" i="5" s="1"/>
  <c r="V797" i="5"/>
  <c r="E797" i="5"/>
  <c r="X797" i="5" s="1"/>
  <c r="V798" i="5"/>
  <c r="E798" i="5"/>
  <c r="X798" i="5" s="1"/>
  <c r="V799" i="5"/>
  <c r="E799" i="5"/>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V840" i="5"/>
  <c r="E840" i="5"/>
  <c r="X840" i="5" s="1"/>
  <c r="V841" i="5"/>
  <c r="E841" i="5"/>
  <c r="X841" i="5" s="1"/>
  <c r="V842" i="5"/>
  <c r="E842" i="5"/>
  <c r="X842" i="5" s="1"/>
  <c r="V843" i="5"/>
  <c r="E843" i="5"/>
  <c r="X843" i="5" s="1"/>
  <c r="V844" i="5"/>
  <c r="E844" i="5"/>
  <c r="X844" i="5" s="1"/>
  <c r="V845" i="5"/>
  <c r="E845" i="5"/>
  <c r="X845" i="5" s="1"/>
  <c r="V846" i="5"/>
  <c r="E846" i="5"/>
  <c r="X846" i="5" s="1"/>
  <c r="V847" i="5"/>
  <c r="E847" i="5"/>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V869" i="5"/>
  <c r="E869" i="5"/>
  <c r="X869" i="5" s="1"/>
  <c r="V870" i="5"/>
  <c r="E870" i="5"/>
  <c r="X870" i="5" s="1"/>
  <c r="V871" i="5"/>
  <c r="E871" i="5"/>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V913" i="5"/>
  <c r="E913" i="5"/>
  <c r="X913" i="5" s="1"/>
  <c r="V914" i="5"/>
  <c r="E914" i="5"/>
  <c r="X914" i="5" s="1"/>
  <c r="V915" i="5"/>
  <c r="E915" i="5"/>
  <c r="V916" i="5"/>
  <c r="E916" i="5"/>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V929" i="5"/>
  <c r="E929" i="5"/>
  <c r="X929" i="5" s="1"/>
  <c r="V930" i="5"/>
  <c r="E930" i="5"/>
  <c r="X930" i="5" s="1"/>
  <c r="V931" i="5"/>
  <c r="E931" i="5"/>
  <c r="X931" i="5" s="1"/>
  <c r="V932" i="5"/>
  <c r="E932" i="5"/>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V948" i="5"/>
  <c r="E948" i="5"/>
  <c r="X948" i="5" s="1"/>
  <c r="V949" i="5"/>
  <c r="E949" i="5"/>
  <c r="X949" i="5" s="1"/>
  <c r="V950" i="5"/>
  <c r="E950" i="5"/>
  <c r="X950" i="5" s="1"/>
  <c r="V951" i="5"/>
  <c r="E951" i="5"/>
  <c r="X951" i="5" s="1"/>
  <c r="V952" i="5"/>
  <c r="E952" i="5"/>
  <c r="V953" i="5"/>
  <c r="E953" i="5"/>
  <c r="X953" i="5" s="1"/>
  <c r="V954" i="5"/>
  <c r="E954" i="5"/>
  <c r="X954" i="5" s="1"/>
  <c r="V955" i="5"/>
  <c r="E955" i="5"/>
  <c r="X955" i="5" s="1"/>
  <c r="V956" i="5"/>
  <c r="E956" i="5"/>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V973" i="5"/>
  <c r="E973" i="5"/>
  <c r="X973" i="5" s="1"/>
  <c r="V974" i="5"/>
  <c r="E974" i="5"/>
  <c r="X974" i="5" s="1"/>
  <c r="V975" i="5"/>
  <c r="E975" i="5"/>
  <c r="X975" i="5" s="1"/>
  <c r="V976" i="5"/>
  <c r="E976" i="5"/>
  <c r="V977" i="5"/>
  <c r="E977" i="5"/>
  <c r="X977" i="5" s="1"/>
  <c r="V978" i="5"/>
  <c r="E978" i="5"/>
  <c r="X978" i="5" s="1"/>
  <c r="V979" i="5"/>
  <c r="E979" i="5"/>
  <c r="X979" i="5" s="1"/>
  <c r="V980" i="5"/>
  <c r="E980" i="5"/>
  <c r="X980" i="5" s="1"/>
  <c r="V981" i="5"/>
  <c r="E981" i="5"/>
  <c r="X981" i="5" s="1"/>
  <c r="V982" i="5"/>
  <c r="E982" i="5"/>
  <c r="X982" i="5" s="1"/>
  <c r="V983" i="5"/>
  <c r="E983" i="5"/>
  <c r="X983" i="5" s="1"/>
  <c r="V984" i="5"/>
  <c r="E984" i="5"/>
  <c r="V985" i="5"/>
  <c r="E985" i="5"/>
  <c r="X985" i="5" s="1"/>
  <c r="V986" i="5"/>
  <c r="E986" i="5"/>
  <c r="X986" i="5" s="1"/>
  <c r="V987" i="5"/>
  <c r="E987" i="5"/>
  <c r="X987" i="5" s="1"/>
  <c r="V988" i="5"/>
  <c r="E988" i="5"/>
  <c r="V989" i="5"/>
  <c r="E989" i="5"/>
  <c r="X989" i="5" s="1"/>
  <c r="V990" i="5"/>
  <c r="E990" i="5"/>
  <c r="X990" i="5" s="1"/>
  <c r="V991" i="5"/>
  <c r="E991" i="5"/>
  <c r="X991" i="5" s="1"/>
  <c r="V992" i="5"/>
  <c r="E992" i="5"/>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V1001" i="5"/>
  <c r="E1001" i="5"/>
  <c r="X1001" i="5" s="1"/>
  <c r="V1002" i="5"/>
  <c r="E1002" i="5"/>
  <c r="X1002" i="5" s="1"/>
  <c r="V1003" i="5"/>
  <c r="E1003" i="5"/>
  <c r="V1004" i="5"/>
  <c r="E1004" i="5"/>
  <c r="X1004" i="5" s="1"/>
  <c r="V1005" i="5"/>
  <c r="E1005" i="5"/>
  <c r="X1005" i="5" s="1"/>
  <c r="V1006" i="5"/>
  <c r="E1006" i="5"/>
  <c r="X1006" i="5" s="1"/>
  <c r="V1007" i="5"/>
  <c r="E1007" i="5"/>
  <c r="X1007" i="5" s="1"/>
  <c r="V1008" i="5"/>
  <c r="E1008" i="5"/>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V1033" i="5"/>
  <c r="E1033" i="5"/>
  <c r="X1033" i="5" s="1"/>
  <c r="V1034" i="5"/>
  <c r="E1034" i="5"/>
  <c r="X1034" i="5" s="1"/>
  <c r="V1035" i="5"/>
  <c r="E1035" i="5"/>
  <c r="X1035" i="5" s="1"/>
  <c r="V1036" i="5"/>
  <c r="E1036" i="5"/>
  <c r="V1037" i="5"/>
  <c r="E1037" i="5"/>
  <c r="X1037" i="5" s="1"/>
  <c r="V1038" i="5"/>
  <c r="E1038" i="5"/>
  <c r="X1038" i="5" s="1"/>
  <c r="V1039" i="5"/>
  <c r="E1039" i="5"/>
  <c r="X1039" i="5" s="1"/>
  <c r="V1040" i="5"/>
  <c r="E1040" i="5"/>
  <c r="V1041" i="5"/>
  <c r="E1041" i="5"/>
  <c r="X1041" i="5" s="1"/>
  <c r="V1042" i="5"/>
  <c r="E1042" i="5"/>
  <c r="X1042" i="5" s="1"/>
  <c r="V1043" i="5"/>
  <c r="E1043" i="5"/>
  <c r="X1043" i="5" s="1"/>
  <c r="V1044" i="5"/>
  <c r="E1044" i="5"/>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V1053" i="5"/>
  <c r="E1053" i="5"/>
  <c r="X1053" i="5" s="1"/>
  <c r="V1054" i="5"/>
  <c r="E1054" i="5"/>
  <c r="X1054" i="5" s="1"/>
  <c r="V1055" i="5"/>
  <c r="E1055" i="5"/>
  <c r="X1055" i="5" s="1"/>
  <c r="V1056" i="5"/>
  <c r="E1056" i="5"/>
  <c r="V1057" i="5"/>
  <c r="E1057" i="5"/>
  <c r="X1057" i="5" s="1"/>
  <c r="V1058" i="5"/>
  <c r="E1058" i="5"/>
  <c r="X1058" i="5" s="1"/>
  <c r="V1059" i="5"/>
  <c r="E1059" i="5"/>
  <c r="X1059" i="5" s="1"/>
  <c r="V1060" i="5"/>
  <c r="E1060" i="5"/>
  <c r="V1061" i="5"/>
  <c r="E1061" i="5"/>
  <c r="X1061" i="5" s="1"/>
  <c r="V1062" i="5"/>
  <c r="E1062" i="5"/>
  <c r="X1062" i="5" s="1"/>
  <c r="V1063" i="5"/>
  <c r="E1063" i="5"/>
  <c r="X1063" i="5" s="1"/>
  <c r="V1064" i="5"/>
  <c r="E1064" i="5"/>
  <c r="V1065" i="5"/>
  <c r="E1065" i="5"/>
  <c r="X1065" i="5" s="1"/>
  <c r="V1066" i="5"/>
  <c r="E1066" i="5"/>
  <c r="X1066" i="5" s="1"/>
  <c r="V1067" i="5"/>
  <c r="E1067" i="5"/>
  <c r="V1068" i="5"/>
  <c r="E1068" i="5"/>
  <c r="X1068" i="5" s="1"/>
  <c r="V1069" i="5"/>
  <c r="E1069" i="5"/>
  <c r="X1069" i="5" s="1"/>
  <c r="V1070" i="5"/>
  <c r="E1070" i="5"/>
  <c r="X1070" i="5" s="1"/>
  <c r="V1071" i="5"/>
  <c r="E1071" i="5"/>
  <c r="X1071" i="5" s="1"/>
  <c r="V1072" i="5"/>
  <c r="E1072" i="5"/>
  <c r="V1073" i="5"/>
  <c r="E1073" i="5"/>
  <c r="X1073" i="5" s="1"/>
  <c r="V1074" i="5"/>
  <c r="E1074" i="5"/>
  <c r="X1074" i="5" s="1"/>
  <c r="V1075" i="5"/>
  <c r="E1075" i="5"/>
  <c r="X1075" i="5" s="1"/>
  <c r="V1076" i="5"/>
  <c r="E1076" i="5"/>
  <c r="X1076" i="5" s="1"/>
  <c r="V1077" i="5"/>
  <c r="E1077" i="5"/>
  <c r="X1077" i="5" s="1"/>
  <c r="V1078" i="5"/>
  <c r="E1078" i="5"/>
  <c r="X1078" i="5" s="1"/>
  <c r="V1079" i="5"/>
  <c r="E1079" i="5"/>
  <c r="V1080" i="5"/>
  <c r="E1080" i="5"/>
  <c r="V1081" i="5"/>
  <c r="E1081" i="5"/>
  <c r="X1081" i="5" s="1"/>
  <c r="V1082" i="5"/>
  <c r="E1082" i="5"/>
  <c r="X1082" i="5" s="1"/>
  <c r="V1083" i="5"/>
  <c r="E1083" i="5"/>
  <c r="X1083" i="5" s="1"/>
  <c r="V1084" i="5"/>
  <c r="E1084" i="5"/>
  <c r="V1085" i="5"/>
  <c r="E1085" i="5"/>
  <c r="X1085" i="5" s="1"/>
  <c r="V1086" i="5"/>
  <c r="E1086" i="5"/>
  <c r="X1086" i="5" s="1"/>
  <c r="V1087" i="5"/>
  <c r="E1087" i="5"/>
  <c r="X1087" i="5" s="1"/>
  <c r="V1088" i="5"/>
  <c r="E1088" i="5"/>
  <c r="V1089" i="5"/>
  <c r="E1089" i="5"/>
  <c r="X1089" i="5" s="1"/>
  <c r="V1090" i="5"/>
  <c r="E1090" i="5"/>
  <c r="X1090" i="5" s="1"/>
  <c r="V1091" i="5"/>
  <c r="E1091" i="5"/>
  <c r="X1091" i="5" s="1"/>
  <c r="V1092" i="5"/>
  <c r="E1092" i="5"/>
  <c r="V1093" i="5"/>
  <c r="E1093" i="5"/>
  <c r="X1093" i="5" s="1"/>
  <c r="V1094" i="5"/>
  <c r="E1094" i="5"/>
  <c r="X1094" i="5" s="1"/>
  <c r="V1095" i="5"/>
  <c r="E1095" i="5"/>
  <c r="V1096" i="5"/>
  <c r="E1096" i="5"/>
  <c r="X1096" i="5" s="1"/>
  <c r="V1097" i="5"/>
  <c r="E1097" i="5"/>
  <c r="X1097" i="5" s="1"/>
  <c r="V1098" i="5"/>
  <c r="E1098" i="5"/>
  <c r="X1098" i="5" s="1"/>
  <c r="V1099" i="5"/>
  <c r="E1099" i="5"/>
  <c r="X1099" i="5" s="1"/>
  <c r="V1100" i="5"/>
  <c r="E1100" i="5"/>
  <c r="V1101" i="5"/>
  <c r="E1101" i="5"/>
  <c r="X1101" i="5" s="1"/>
  <c r="V1102" i="5"/>
  <c r="E1102" i="5"/>
  <c r="X1102" i="5" s="1"/>
  <c r="V1103" i="5"/>
  <c r="E1103" i="5"/>
  <c r="X1103" i="5" s="1"/>
  <c r="V1104" i="5"/>
  <c r="E1104" i="5"/>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V1121" i="5"/>
  <c r="E1121" i="5"/>
  <c r="X1121" i="5" s="1"/>
  <c r="V1122" i="5"/>
  <c r="E1122" i="5"/>
  <c r="X1122" i="5" s="1"/>
  <c r="V1123" i="5"/>
  <c r="E1123" i="5"/>
  <c r="V1124" i="5"/>
  <c r="E1124" i="5"/>
  <c r="V1125" i="5"/>
  <c r="E1125" i="5"/>
  <c r="X1125" i="5" s="1"/>
  <c r="V1126" i="5"/>
  <c r="E1126" i="5"/>
  <c r="X1126" i="5" s="1"/>
  <c r="V1127" i="5"/>
  <c r="E1127" i="5"/>
  <c r="X1127" i="5" s="1"/>
  <c r="V1128" i="5"/>
  <c r="E1128" i="5"/>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V1168" i="5"/>
  <c r="E1168" i="5"/>
  <c r="V1169" i="5"/>
  <c r="E1169" i="5"/>
  <c r="X1169" i="5" s="1"/>
  <c r="V1170" i="5"/>
  <c r="E1170" i="5"/>
  <c r="X1170" i="5" s="1"/>
  <c r="V1171" i="5"/>
  <c r="E1171" i="5"/>
  <c r="V1172" i="5"/>
  <c r="E1172" i="5"/>
  <c r="X1172" i="5" s="1"/>
  <c r="V1173" i="5"/>
  <c r="E1173" i="5"/>
  <c r="X1173" i="5" s="1"/>
  <c r="V1174" i="5"/>
  <c r="E1174" i="5"/>
  <c r="X1174" i="5" s="1"/>
  <c r="V1175" i="5"/>
  <c r="E1175" i="5"/>
  <c r="V1176" i="5"/>
  <c r="E1176" i="5"/>
  <c r="X1176" i="5" s="1"/>
  <c r="V1177" i="5"/>
  <c r="E1177" i="5"/>
  <c r="X1177" i="5" s="1"/>
  <c r="V1178" i="5"/>
  <c r="E1178" i="5"/>
  <c r="X1178" i="5" s="1"/>
  <c r="V1179" i="5"/>
  <c r="E1179" i="5"/>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V1189" i="5"/>
  <c r="E1189" i="5"/>
  <c r="X1189" i="5" s="1"/>
  <c r="V1190" i="5"/>
  <c r="E1190" i="5"/>
  <c r="X1190" i="5" s="1"/>
  <c r="V1191" i="5"/>
  <c r="E1191" i="5"/>
  <c r="X1191" i="5" s="1"/>
  <c r="V1192" i="5"/>
  <c r="E1192" i="5"/>
  <c r="X1192" i="5" s="1"/>
  <c r="V1193" i="5"/>
  <c r="E1193" i="5"/>
  <c r="X1193" i="5" s="1"/>
  <c r="V1194" i="5"/>
  <c r="E1194" i="5"/>
  <c r="X1194" i="5" s="1"/>
  <c r="V1195" i="5"/>
  <c r="E1195" i="5"/>
  <c r="V1196" i="5"/>
  <c r="E1196" i="5"/>
  <c r="V1197" i="5"/>
  <c r="E1197" i="5"/>
  <c r="X1197" i="5" s="1"/>
  <c r="V1198" i="5"/>
  <c r="E1198" i="5"/>
  <c r="X1198" i="5" s="1"/>
  <c r="V1199" i="5"/>
  <c r="E1199" i="5"/>
  <c r="X1199" i="5" s="1"/>
  <c r="V1200" i="5"/>
  <c r="E1200" i="5"/>
  <c r="V1201" i="5"/>
  <c r="E1201" i="5"/>
  <c r="X1201" i="5" s="1"/>
  <c r="V1202" i="5"/>
  <c r="E1202" i="5"/>
  <c r="X1202" i="5" s="1"/>
  <c r="V1203" i="5"/>
  <c r="E1203" i="5"/>
  <c r="X1203" i="5" s="1"/>
  <c r="V1204" i="5"/>
  <c r="E1204" i="5"/>
  <c r="V1205" i="5"/>
  <c r="E1205" i="5"/>
  <c r="X1205" i="5" s="1"/>
  <c r="V1206" i="5"/>
  <c r="E1206" i="5"/>
  <c r="X1206" i="5" s="1"/>
  <c r="V1207" i="5"/>
  <c r="E1207" i="5"/>
  <c r="V1208" i="5"/>
  <c r="E1208" i="5"/>
  <c r="X1208" i="5" s="1"/>
  <c r="V1209" i="5"/>
  <c r="E1209" i="5"/>
  <c r="X1209" i="5" s="1"/>
  <c r="V1210" i="5"/>
  <c r="E1210" i="5"/>
  <c r="X1210" i="5" s="1"/>
  <c r="V1211" i="5"/>
  <c r="E1211" i="5"/>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X1226" i="5" s="1"/>
  <c r="V1227" i="5"/>
  <c r="E1227" i="5"/>
  <c r="X1227" i="5" s="1"/>
  <c r="V1228" i="5"/>
  <c r="E1228" i="5"/>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V1248" i="5"/>
  <c r="E1248" i="5"/>
  <c r="X1248" i="5" s="1"/>
  <c r="V1249" i="5"/>
  <c r="E1249" i="5"/>
  <c r="X1249" i="5" s="1"/>
  <c r="V1250" i="5"/>
  <c r="E1250" i="5"/>
  <c r="X1250" i="5" s="1"/>
  <c r="V1251" i="5"/>
  <c r="E1251" i="5"/>
  <c r="X1251" i="5" s="1"/>
  <c r="V1252" i="5"/>
  <c r="E1252" i="5"/>
  <c r="X1252" i="5" s="1"/>
  <c r="V1253" i="5"/>
  <c r="E1253" i="5"/>
  <c r="X1253" i="5" s="1"/>
  <c r="V1254" i="5"/>
  <c r="E1254" i="5"/>
  <c r="X1254" i="5" s="1"/>
  <c r="V1255" i="5"/>
  <c r="E1255" i="5"/>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V1268" i="5"/>
  <c r="E1268" i="5"/>
  <c r="X1268" i="5" s="1"/>
  <c r="V1269" i="5"/>
  <c r="E1269" i="5"/>
  <c r="X1269" i="5" s="1"/>
  <c r="V1270" i="5"/>
  <c r="E1270" i="5"/>
  <c r="X1270" i="5" s="1"/>
  <c r="V1271" i="5"/>
  <c r="E1271" i="5"/>
  <c r="X1271" i="5" s="1"/>
  <c r="V1272" i="5"/>
  <c r="E1272" i="5"/>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V1293" i="5"/>
  <c r="E1293" i="5"/>
  <c r="X1293" i="5" s="1"/>
  <c r="V1294" i="5"/>
  <c r="E1294" i="5"/>
  <c r="X1294" i="5" s="1"/>
  <c r="V1295" i="5"/>
  <c r="E1295" i="5"/>
  <c r="X1295" i="5" s="1"/>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V1305" i="5"/>
  <c r="E1305" i="5"/>
  <c r="X1305" i="5" s="1"/>
  <c r="V1306" i="5"/>
  <c r="E1306" i="5"/>
  <c r="X1306" i="5" s="1"/>
  <c r="V1307" i="5"/>
  <c r="E1307" i="5"/>
  <c r="X1307" i="5" s="1"/>
  <c r="V1308" i="5"/>
  <c r="E1308" i="5"/>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V1320" i="5"/>
  <c r="E1320" i="5"/>
  <c r="V1321" i="5"/>
  <c r="E1321" i="5"/>
  <c r="X1321" i="5" s="1"/>
  <c r="V1322" i="5"/>
  <c r="E1322" i="5"/>
  <c r="X1322" i="5" s="1"/>
  <c r="V1323" i="5"/>
  <c r="E1323" i="5"/>
  <c r="V1324" i="5"/>
  <c r="E1324" i="5"/>
  <c r="X1324" i="5" s="1"/>
  <c r="V1325" i="5"/>
  <c r="E1325" i="5"/>
  <c r="X1325" i="5" s="1"/>
  <c r="V1326" i="5"/>
  <c r="E1326" i="5"/>
  <c r="X1326" i="5" s="1"/>
  <c r="V1327" i="5"/>
  <c r="E1327" i="5"/>
  <c r="V1328" i="5"/>
  <c r="E1328" i="5"/>
  <c r="X1328" i="5" s="1"/>
  <c r="V1329" i="5"/>
  <c r="E1329" i="5"/>
  <c r="X1329" i="5" s="1"/>
  <c r="V1330" i="5"/>
  <c r="E1330" i="5"/>
  <c r="X1330" i="5" s="1"/>
  <c r="V1331" i="5"/>
  <c r="E1331" i="5"/>
  <c r="X1331" i="5" s="1"/>
  <c r="V1332" i="5"/>
  <c r="E1332" i="5"/>
  <c r="V1333" i="5"/>
  <c r="E1333" i="5"/>
  <c r="X1333" i="5" s="1"/>
  <c r="V1334" i="5"/>
  <c r="E1334" i="5"/>
  <c r="X1334" i="5" s="1"/>
  <c r="V1335" i="5"/>
  <c r="E1335" i="5"/>
  <c r="V1336" i="5"/>
  <c r="E1336" i="5"/>
  <c r="X1336" i="5" s="1"/>
  <c r="V1337" i="5"/>
  <c r="E1337" i="5"/>
  <c r="X1337" i="5" s="1"/>
  <c r="V1338" i="5"/>
  <c r="E1338" i="5"/>
  <c r="X1338" i="5" s="1"/>
  <c r="V1339" i="5"/>
  <c r="E1339" i="5"/>
  <c r="X1339" i="5" s="1"/>
  <c r="V1340" i="5"/>
  <c r="E1340" i="5"/>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V1349" i="5"/>
  <c r="E1349" i="5"/>
  <c r="X1349" i="5" s="1"/>
  <c r="V1350" i="5"/>
  <c r="E1350" i="5"/>
  <c r="X1350" i="5" s="1"/>
  <c r="V1351" i="5"/>
  <c r="E1351" i="5"/>
  <c r="X1351" i="5" s="1"/>
  <c r="V1352" i="5"/>
  <c r="E1352" i="5"/>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V1385" i="5"/>
  <c r="E1385" i="5"/>
  <c r="X1385" i="5" s="1"/>
  <c r="V1386" i="5"/>
  <c r="E1386" i="5"/>
  <c r="X1386" i="5" s="1"/>
  <c r="V1387" i="5"/>
  <c r="E1387" i="5"/>
  <c r="X1387" i="5" s="1"/>
  <c r="V1388" i="5"/>
  <c r="E1388" i="5"/>
  <c r="V1389" i="5"/>
  <c r="E1389" i="5"/>
  <c r="X1389" i="5" s="1"/>
  <c r="V1390" i="5"/>
  <c r="E1390" i="5"/>
  <c r="X1390" i="5" s="1"/>
  <c r="V1391" i="5"/>
  <c r="E1391" i="5"/>
  <c r="X1391" i="5" s="1"/>
  <c r="V1392" i="5"/>
  <c r="E1392" i="5"/>
  <c r="V1393" i="5"/>
  <c r="E1393" i="5"/>
  <c r="X1393" i="5" s="1"/>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V1405" i="5"/>
  <c r="E1405" i="5"/>
  <c r="X1405" i="5" s="1"/>
  <c r="V1406" i="5"/>
  <c r="E1406" i="5"/>
  <c r="X1406" i="5" s="1"/>
  <c r="V1407" i="5"/>
  <c r="E1407" i="5"/>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V1437" i="5"/>
  <c r="E1437" i="5"/>
  <c r="X1437" i="5" s="1"/>
  <c r="V1438" i="5"/>
  <c r="E1438" i="5"/>
  <c r="X1438" i="5" s="1"/>
  <c r="V1439" i="5"/>
  <c r="E1439" i="5"/>
  <c r="X1439" i="5" s="1"/>
  <c r="V1440" i="5"/>
  <c r="E1440" i="5"/>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V1457" i="5"/>
  <c r="E1457" i="5"/>
  <c r="X1457" i="5" s="1"/>
  <c r="V1458" i="5"/>
  <c r="E1458" i="5"/>
  <c r="X1458" i="5" s="1"/>
  <c r="V1459" i="5"/>
  <c r="E1459" i="5"/>
  <c r="X1459" i="5" s="1"/>
  <c r="V1460" i="5"/>
  <c r="E1460" i="5"/>
  <c r="V1461" i="5"/>
  <c r="E1461" i="5"/>
  <c r="X1461" i="5" s="1"/>
  <c r="V1462" i="5"/>
  <c r="E1462" i="5"/>
  <c r="X1462" i="5" s="1"/>
  <c r="V1463" i="5"/>
  <c r="E1463" i="5"/>
  <c r="X1463" i="5" s="1"/>
  <c r="V1464" i="5"/>
  <c r="E1464" i="5"/>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V1497" i="5"/>
  <c r="E1497" i="5"/>
  <c r="X1497" i="5" s="1"/>
  <c r="V1498" i="5"/>
  <c r="E1498" i="5"/>
  <c r="X1498" i="5" s="1"/>
  <c r="V1499" i="5"/>
  <c r="E1499" i="5"/>
  <c r="X1499" i="5" s="1"/>
  <c r="V1500" i="5"/>
  <c r="E1500" i="5"/>
  <c r="V1501" i="5"/>
  <c r="E1501" i="5"/>
  <c r="X1501" i="5" s="1"/>
  <c r="V1502" i="5"/>
  <c r="E1502" i="5"/>
  <c r="X1502" i="5" s="1"/>
  <c r="V1503" i="5"/>
  <c r="E1503" i="5"/>
  <c r="X1503" i="5" s="1"/>
  <c r="V1504" i="5"/>
  <c r="E1504" i="5"/>
  <c r="X1504" i="5" s="1"/>
  <c r="V1505" i="5"/>
  <c r="E1505" i="5"/>
  <c r="X1505" i="5" s="1"/>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V1529" i="5"/>
  <c r="E1529" i="5"/>
  <c r="X1529" i="5" s="1"/>
  <c r="V1530" i="5"/>
  <c r="E1530" i="5"/>
  <c r="X1530" i="5" s="1"/>
  <c r="V1531" i="5"/>
  <c r="E1531" i="5"/>
  <c r="X1531" i="5" s="1"/>
  <c r="V1532" i="5"/>
  <c r="E1532" i="5"/>
  <c r="V1533" i="5"/>
  <c r="E1533" i="5"/>
  <c r="X1533" i="5" s="1"/>
  <c r="V1534" i="5"/>
  <c r="E1534" i="5"/>
  <c r="X1534" i="5" s="1"/>
  <c r="V1535" i="5"/>
  <c r="E1535" i="5"/>
  <c r="X1535" i="5" s="1"/>
  <c r="V1536" i="5"/>
  <c r="E1536" i="5"/>
  <c r="V1537" i="5"/>
  <c r="E1537" i="5"/>
  <c r="X1537" i="5" s="1"/>
  <c r="V1538" i="5"/>
  <c r="E1538" i="5"/>
  <c r="X1538" i="5" s="1"/>
  <c r="V1539" i="5"/>
  <c r="E1539" i="5"/>
  <c r="X1539" i="5" s="1"/>
  <c r="V1540" i="5"/>
  <c r="E1540" i="5"/>
  <c r="V1541" i="5"/>
  <c r="E1541" i="5"/>
  <c r="X1541" i="5" s="1"/>
  <c r="V1542" i="5"/>
  <c r="E1542" i="5"/>
  <c r="X1542" i="5" s="1"/>
  <c r="V1543" i="5"/>
  <c r="E1543" i="5"/>
  <c r="X1543" i="5" s="1"/>
  <c r="V1544" i="5"/>
  <c r="E1544" i="5"/>
  <c r="X1544" i="5" s="1"/>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V1565" i="5"/>
  <c r="E1565" i="5"/>
  <c r="X1565" i="5" s="1"/>
  <c r="V1566" i="5"/>
  <c r="E1566" i="5"/>
  <c r="X1566" i="5" s="1"/>
  <c r="V1567" i="5"/>
  <c r="E1567" i="5"/>
  <c r="X1567" i="5" s="1"/>
  <c r="V1568" i="5"/>
  <c r="E1568" i="5"/>
  <c r="X1568" i="5" s="1"/>
  <c r="V1569" i="5"/>
  <c r="E1569" i="5"/>
  <c r="X1569" i="5" s="1"/>
  <c r="V1570" i="5"/>
  <c r="E1570" i="5"/>
  <c r="X1570" i="5" s="1"/>
  <c r="V1571" i="5"/>
  <c r="E1571" i="5"/>
  <c r="V1572" i="5"/>
  <c r="E1572" i="5"/>
  <c r="V1573" i="5"/>
  <c r="E1573" i="5"/>
  <c r="X1573" i="5" s="1"/>
  <c r="V1574" i="5"/>
  <c r="E1574" i="5"/>
  <c r="X1574" i="5" s="1"/>
  <c r="V1575" i="5"/>
  <c r="E1575" i="5"/>
  <c r="V1576" i="5"/>
  <c r="E1576" i="5"/>
  <c r="V1577" i="5"/>
  <c r="E1577" i="5"/>
  <c r="X1577" i="5" s="1"/>
  <c r="V1578" i="5"/>
  <c r="E1578" i="5"/>
  <c r="X1578" i="5" s="1"/>
  <c r="V1579" i="5"/>
  <c r="E1579" i="5"/>
  <c r="X1579" i="5" s="1"/>
  <c r="V1580" i="5"/>
  <c r="E1580" i="5"/>
  <c r="V1581" i="5"/>
  <c r="E1581" i="5"/>
  <c r="X1581" i="5" s="1"/>
  <c r="V1582" i="5"/>
  <c r="E1582" i="5"/>
  <c r="X1582" i="5" s="1"/>
  <c r="V1583" i="5"/>
  <c r="E1583" i="5"/>
  <c r="X1583" i="5" s="1"/>
  <c r="V1584" i="5"/>
  <c r="E1584" i="5"/>
  <c r="V1585" i="5"/>
  <c r="E1585" i="5"/>
  <c r="X1585" i="5" s="1"/>
  <c r="V1586" i="5"/>
  <c r="E1586" i="5"/>
  <c r="X1586" i="5" s="1"/>
  <c r="V1587" i="5"/>
  <c r="E1587" i="5"/>
  <c r="X1587" i="5" s="1"/>
  <c r="V1588" i="5"/>
  <c r="E1588" i="5"/>
  <c r="X1588" i="5" s="1"/>
  <c r="V1589" i="5"/>
  <c r="E1589" i="5"/>
  <c r="X1589" i="5" s="1"/>
  <c r="V1590" i="5"/>
  <c r="E1590" i="5"/>
  <c r="X1590" i="5" s="1"/>
  <c r="V1591" i="5"/>
  <c r="E1591" i="5"/>
  <c r="V1592" i="5"/>
  <c r="E1592" i="5"/>
  <c r="V1593" i="5"/>
  <c r="E1593" i="5"/>
  <c r="X1593" i="5" s="1"/>
  <c r="V1594" i="5"/>
  <c r="E1594" i="5"/>
  <c r="X1594" i="5" s="1"/>
  <c r="V1595" i="5"/>
  <c r="E1595" i="5"/>
  <c r="X1595" i="5" s="1"/>
  <c r="V1596" i="5"/>
  <c r="E1596" i="5"/>
  <c r="V1597" i="5"/>
  <c r="E1597" i="5"/>
  <c r="X1597" i="5" s="1"/>
  <c r="V1598" i="5"/>
  <c r="E1598" i="5"/>
  <c r="X1598" i="5" s="1"/>
  <c r="V1599" i="5"/>
  <c r="E1599" i="5"/>
  <c r="V1600" i="5"/>
  <c r="E1600" i="5"/>
  <c r="V1601" i="5"/>
  <c r="E1601" i="5"/>
  <c r="X1601" i="5" s="1"/>
  <c r="V1602" i="5"/>
  <c r="E1602" i="5"/>
  <c r="X1602" i="5" s="1"/>
  <c r="V1603" i="5"/>
  <c r="E1603" i="5"/>
  <c r="X1603" i="5" s="1"/>
  <c r="V1604" i="5"/>
  <c r="E1604" i="5"/>
  <c r="V1605" i="5"/>
  <c r="E1605" i="5"/>
  <c r="X1605" i="5" s="1"/>
  <c r="V1606" i="5"/>
  <c r="E1606" i="5"/>
  <c r="X1606" i="5" s="1"/>
  <c r="V1607" i="5"/>
  <c r="E1607" i="5"/>
  <c r="X1607" i="5" s="1"/>
  <c r="V1608" i="5"/>
  <c r="E1608" i="5"/>
  <c r="V1609" i="5"/>
  <c r="E1609" i="5"/>
  <c r="X1609" i="5" s="1"/>
  <c r="V1610" i="5"/>
  <c r="E1610" i="5"/>
  <c r="X1610" i="5" s="1"/>
  <c r="V1611" i="5"/>
  <c r="E1611" i="5"/>
  <c r="X1611" i="5" s="1"/>
  <c r="V1612" i="5"/>
  <c r="E1612" i="5"/>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V1660" i="5"/>
  <c r="E1660" i="5"/>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V1669" i="5"/>
  <c r="E1669" i="5"/>
  <c r="X1669" i="5" s="1"/>
  <c r="V1670" i="5"/>
  <c r="E1670" i="5"/>
  <c r="X1670" i="5" s="1"/>
  <c r="V1671" i="5"/>
  <c r="E1671" i="5"/>
  <c r="X1671" i="5" s="1"/>
  <c r="V1672" i="5"/>
  <c r="E1672" i="5"/>
  <c r="V1673" i="5"/>
  <c r="E1673" i="5"/>
  <c r="X1673" i="5" s="1"/>
  <c r="V1674" i="5"/>
  <c r="E1674" i="5"/>
  <c r="X1674" i="5" s="1"/>
  <c r="V1675" i="5"/>
  <c r="E1675" i="5"/>
  <c r="X1675" i="5" s="1"/>
  <c r="V1676" i="5"/>
  <c r="E1676" i="5"/>
  <c r="X1676" i="5" s="1"/>
  <c r="V1677" i="5"/>
  <c r="E1677" i="5"/>
  <c r="X1677" i="5" s="1"/>
  <c r="V1678" i="5"/>
  <c r="E1678" i="5"/>
  <c r="X1678" i="5" s="1"/>
  <c r="V1679" i="5"/>
  <c r="E1679" i="5"/>
  <c r="V1680" i="5"/>
  <c r="E1680" i="5"/>
  <c r="X1680" i="5" s="1"/>
  <c r="V1681" i="5"/>
  <c r="E1681" i="5"/>
  <c r="X1681" i="5" s="1"/>
  <c r="V1682" i="5"/>
  <c r="E1682" i="5"/>
  <c r="X1682" i="5" s="1"/>
  <c r="V1683" i="5"/>
  <c r="E1683" i="5"/>
  <c r="X1683" i="5" s="1"/>
  <c r="V1684" i="5"/>
  <c r="E1684" i="5"/>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V1713" i="5"/>
  <c r="E1713" i="5"/>
  <c r="X1713" i="5" s="1"/>
  <c r="V1714" i="5"/>
  <c r="E1714" i="5"/>
  <c r="X1714" i="5" s="1"/>
  <c r="V1715" i="5"/>
  <c r="E1715" i="5"/>
  <c r="X1715" i="5" s="1"/>
  <c r="V1716" i="5"/>
  <c r="E1716" i="5"/>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V1725" i="5"/>
  <c r="E1725" i="5"/>
  <c r="X1725" i="5" s="1"/>
  <c r="V1726" i="5"/>
  <c r="E1726" i="5"/>
  <c r="X1726" i="5" s="1"/>
  <c r="V1727" i="5"/>
  <c r="E1727" i="5"/>
  <c r="X1727" i="5" s="1"/>
  <c r="V1728" i="5"/>
  <c r="E1728" i="5"/>
  <c r="X1728" i="5" s="1"/>
  <c r="V1729" i="5"/>
  <c r="E1729" i="5"/>
  <c r="X1729" i="5" s="1"/>
  <c r="V1730" i="5"/>
  <c r="E1730" i="5"/>
  <c r="X1730" i="5" s="1"/>
  <c r="V1731" i="5"/>
  <c r="E1731" i="5"/>
  <c r="V1732" i="5"/>
  <c r="E1732" i="5"/>
  <c r="X1732" i="5" s="1"/>
  <c r="V1733" i="5"/>
  <c r="E1733" i="5"/>
  <c r="X1733" i="5" s="1"/>
  <c r="V1734" i="5"/>
  <c r="E1734" i="5"/>
  <c r="X1734" i="5" s="1"/>
  <c r="V1735" i="5"/>
  <c r="E1735" i="5"/>
  <c r="X1735" i="5" s="1"/>
  <c r="V1736" i="5"/>
  <c r="E1736" i="5"/>
  <c r="V1737" i="5"/>
  <c r="E1737" i="5"/>
  <c r="X1737" i="5" s="1"/>
  <c r="V1738" i="5"/>
  <c r="E1738" i="5"/>
  <c r="X1738" i="5" s="1"/>
  <c r="V1739" i="5"/>
  <c r="E1739" i="5"/>
  <c r="X1739" i="5" s="1"/>
  <c r="V1740" i="5"/>
  <c r="E1740" i="5"/>
  <c r="V1741" i="5"/>
  <c r="E1741" i="5"/>
  <c r="X1741" i="5" s="1"/>
  <c r="V1742" i="5"/>
  <c r="E1742" i="5"/>
  <c r="X1742" i="5" s="1"/>
  <c r="V1743" i="5"/>
  <c r="E1743" i="5"/>
  <c r="X1743" i="5" s="1"/>
  <c r="V1744" i="5"/>
  <c r="E1744" i="5"/>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V1773" i="5"/>
  <c r="E1773" i="5"/>
  <c r="X1773" i="5" s="1"/>
  <c r="V1774" i="5"/>
  <c r="E1774" i="5"/>
  <c r="X1774" i="5" s="1"/>
  <c r="V1775" i="5"/>
  <c r="E1775" i="5"/>
  <c r="X1775" i="5" s="1"/>
  <c r="V1776" i="5"/>
  <c r="E1776" i="5"/>
  <c r="V1777" i="5"/>
  <c r="E1777" i="5"/>
  <c r="X1777" i="5" s="1"/>
  <c r="V1778" i="5"/>
  <c r="E1778" i="5"/>
  <c r="X1778" i="5" s="1"/>
  <c r="V1779" i="5"/>
  <c r="E1779" i="5"/>
  <c r="V1780" i="5"/>
  <c r="E1780" i="5"/>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V1792" i="5"/>
  <c r="E1792" i="5"/>
  <c r="V1793" i="5"/>
  <c r="E1793" i="5"/>
  <c r="X1793" i="5" s="1"/>
  <c r="V1794" i="5"/>
  <c r="E1794" i="5"/>
  <c r="X1794" i="5" s="1"/>
  <c r="V1795" i="5"/>
  <c r="E1795" i="5"/>
  <c r="X1795" i="5" s="1"/>
  <c r="V1796" i="5"/>
  <c r="E1796" i="5"/>
  <c r="X1796" i="5" s="1"/>
  <c r="V1797" i="5"/>
  <c r="E1797" i="5"/>
  <c r="X1797" i="5" s="1"/>
  <c r="V1798" i="5"/>
  <c r="E1798" i="5"/>
  <c r="X1798" i="5" s="1"/>
  <c r="V1799" i="5"/>
  <c r="E1799" i="5"/>
  <c r="V1800" i="5"/>
  <c r="E1800" i="5"/>
  <c r="X1800" i="5" s="1"/>
  <c r="V1801" i="5"/>
  <c r="E1801" i="5"/>
  <c r="X1801" i="5" s="1"/>
  <c r="V1802" i="5"/>
  <c r="E1802" i="5"/>
  <c r="X1802" i="5" s="1"/>
  <c r="V1803" i="5"/>
  <c r="E1803" i="5"/>
  <c r="X1803" i="5" s="1"/>
  <c r="V1804" i="5"/>
  <c r="E1804" i="5"/>
  <c r="V1805" i="5"/>
  <c r="E1805" i="5"/>
  <c r="X1805" i="5" s="1"/>
  <c r="V1806" i="5"/>
  <c r="E1806" i="5"/>
  <c r="X1806" i="5" s="1"/>
  <c r="V1807" i="5"/>
  <c r="E1807" i="5"/>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X1826" i="5" s="1"/>
  <c r="V1827" i="5"/>
  <c r="E1827" i="5"/>
  <c r="X1827" i="5" s="1"/>
  <c r="V1828" i="5"/>
  <c r="E1828" i="5"/>
  <c r="X1828" i="5" s="1"/>
  <c r="V1829" i="5"/>
  <c r="E1829" i="5"/>
  <c r="X1829" i="5" s="1"/>
  <c r="V1830" i="5"/>
  <c r="E1830" i="5"/>
  <c r="X1830" i="5" s="1"/>
  <c r="V1831" i="5"/>
  <c r="E1831" i="5"/>
  <c r="X1831" i="5" s="1"/>
  <c r="V1832" i="5"/>
  <c r="E1832" i="5"/>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V1952" i="5"/>
  <c r="E1952" i="5"/>
  <c r="V1953" i="5"/>
  <c r="E1953" i="5"/>
  <c r="X1953" i="5" s="1"/>
  <c r="V1954" i="5"/>
  <c r="E1954" i="5"/>
  <c r="X1954" i="5" s="1"/>
  <c r="V1955" i="5"/>
  <c r="E1955" i="5"/>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X1982" i="5" s="1"/>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V2013" i="5"/>
  <c r="E2013" i="5"/>
  <c r="X2013" i="5" s="1"/>
  <c r="V2014" i="5"/>
  <c r="E2014" i="5"/>
  <c r="X2014" i="5" s="1"/>
  <c r="V2015" i="5"/>
  <c r="E2015" i="5"/>
  <c r="X2015" i="5" s="1"/>
  <c r="V2016" i="5"/>
  <c r="E2016" i="5"/>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V2056" i="5"/>
  <c r="E2056" i="5"/>
  <c r="X2056" i="5" s="1"/>
  <c r="V2057" i="5"/>
  <c r="E2057" i="5"/>
  <c r="X2057" i="5" s="1"/>
  <c r="V2058" i="5"/>
  <c r="E2058" i="5"/>
  <c r="X2058" i="5" s="1"/>
  <c r="V2059" i="5"/>
  <c r="E2059" i="5"/>
  <c r="X2059" i="5" s="1"/>
  <c r="V2060" i="5"/>
  <c r="E2060" i="5"/>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V2121" i="5"/>
  <c r="E2121" i="5"/>
  <c r="X2121" i="5" s="1"/>
  <c r="V2122" i="5"/>
  <c r="E2122" i="5"/>
  <c r="X2122" i="5" s="1"/>
  <c r="V2123" i="5"/>
  <c r="E2123" i="5"/>
  <c r="X2123" i="5" s="1"/>
  <c r="V2124" i="5"/>
  <c r="E2124" i="5"/>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X2135" i="5" s="1"/>
  <c r="V2136" i="5"/>
  <c r="E2136" i="5"/>
  <c r="X2136" i="5" s="1"/>
  <c r="V2137" i="5"/>
  <c r="E2137" i="5"/>
  <c r="X2137" i="5" s="1"/>
  <c r="V2138" i="5"/>
  <c r="E2138" i="5"/>
  <c r="X2138" i="5" s="1"/>
  <c r="V2139" i="5"/>
  <c r="E2139" i="5"/>
  <c r="V2140" i="5"/>
  <c r="E2140" i="5"/>
  <c r="V2141" i="5"/>
  <c r="E2141" i="5"/>
  <c r="X2141" i="5" s="1"/>
  <c r="V2142" i="5"/>
  <c r="E2142" i="5"/>
  <c r="X2142" i="5" s="1"/>
  <c r="V2143" i="5"/>
  <c r="E2143" i="5"/>
  <c r="X2143" i="5" s="1"/>
  <c r="V2144" i="5"/>
  <c r="E2144" i="5"/>
  <c r="V2145" i="5"/>
  <c r="E2145" i="5"/>
  <c r="X2145" i="5" s="1"/>
  <c r="V2146" i="5"/>
  <c r="E2146" i="5"/>
  <c r="X2146" i="5" s="1"/>
  <c r="V2147" i="5"/>
  <c r="E2147" i="5"/>
  <c r="X2147" i="5" s="1"/>
  <c r="V2148" i="5"/>
  <c r="E2148" i="5"/>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V2160" i="5"/>
  <c r="E2160" i="5"/>
  <c r="X2160" i="5" s="1"/>
  <c r="V2161" i="5"/>
  <c r="E2161" i="5"/>
  <c r="X2161" i="5" s="1"/>
  <c r="V2162" i="5"/>
  <c r="E2162" i="5"/>
  <c r="X2162" i="5" s="1"/>
  <c r="V2163" i="5"/>
  <c r="E2163" i="5"/>
  <c r="X2163" i="5" s="1"/>
  <c r="V2164" i="5"/>
  <c r="E2164" i="5"/>
  <c r="V2165" i="5"/>
  <c r="E2165" i="5"/>
  <c r="X2165" i="5" s="1"/>
  <c r="V2166" i="5"/>
  <c r="E2166" i="5"/>
  <c r="X2166" i="5" s="1"/>
  <c r="V2167" i="5"/>
  <c r="E2167" i="5"/>
  <c r="X2167" i="5" s="1"/>
  <c r="V2168" i="5"/>
  <c r="E2168" i="5"/>
  <c r="V2169" i="5"/>
  <c r="E2169" i="5"/>
  <c r="X2169" i="5" s="1"/>
  <c r="V2170" i="5"/>
  <c r="E2170" i="5"/>
  <c r="X2170" i="5" s="1"/>
  <c r="V2171" i="5"/>
  <c r="E2171" i="5"/>
  <c r="X2171" i="5" s="1"/>
  <c r="V2172" i="5"/>
  <c r="E2172" i="5"/>
  <c r="X2172" i="5" s="1"/>
  <c r="V2173" i="5"/>
  <c r="E2173" i="5"/>
  <c r="X2173" i="5" s="1"/>
  <c r="V2174" i="5"/>
  <c r="E2174" i="5"/>
  <c r="X2174" i="5" s="1"/>
  <c r="V2175" i="5"/>
  <c r="E2175" i="5"/>
  <c r="V2176" i="5"/>
  <c r="E2176" i="5"/>
  <c r="V2177" i="5"/>
  <c r="E2177" i="5"/>
  <c r="X2177" i="5" s="1"/>
  <c r="V2178" i="5"/>
  <c r="E2178" i="5"/>
  <c r="X2178" i="5" s="1"/>
  <c r="V2179" i="5"/>
  <c r="E2179" i="5"/>
  <c r="X2179" i="5" s="1"/>
  <c r="V2180" i="5"/>
  <c r="E2180" i="5"/>
  <c r="V2181" i="5"/>
  <c r="E2181" i="5"/>
  <c r="X2181" i="5" s="1"/>
  <c r="V2182" i="5"/>
  <c r="E2182" i="5"/>
  <c r="X2182" i="5" s="1"/>
  <c r="V2183" i="5"/>
  <c r="E2183" i="5"/>
  <c r="V2184" i="5"/>
  <c r="E2184" i="5"/>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X2222" i="5" s="1"/>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X2240" i="5" s="1"/>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V2333" i="5"/>
  <c r="E2333" i="5"/>
  <c r="X2333" i="5" s="1"/>
  <c r="V2334" i="5"/>
  <c r="E2334" i="5"/>
  <c r="X2334" i="5" s="1"/>
  <c r="V2335" i="5"/>
  <c r="E2335" i="5"/>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X2396" i="5" s="1"/>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V2469" i="5"/>
  <c r="E2469" i="5"/>
  <c r="X2469" i="5" s="1"/>
  <c r="V2470" i="5"/>
  <c r="E2470" i="5"/>
  <c r="X2470" i="5" s="1"/>
  <c r="V2471" i="5"/>
  <c r="E2471" i="5"/>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22" i="5"/>
  <c r="R313" i="5"/>
  <c r="X271" i="5"/>
  <c r="X269" i="5"/>
  <c r="R263" i="5"/>
  <c r="X257" i="5"/>
  <c r="R255" i="5"/>
  <c r="R253" i="5"/>
  <c r="R233" i="5"/>
  <c r="X213" i="5"/>
  <c r="R205" i="5"/>
  <c r="X190" i="5"/>
  <c r="R157" i="5"/>
  <c r="R141" i="5"/>
  <c r="R137" i="5"/>
  <c r="X123" i="5"/>
  <c r="R121" i="5"/>
  <c r="R98" i="5"/>
  <c r="R96" i="5"/>
  <c r="R92" i="5"/>
  <c r="R88" i="5"/>
  <c r="R85" i="5"/>
  <c r="R84" i="5"/>
  <c r="R82" i="5"/>
  <c r="R80" i="5"/>
  <c r="R78" i="5"/>
  <c r="R72" i="5"/>
  <c r="R68" i="5"/>
  <c r="R65" i="5"/>
  <c r="R64" i="5"/>
  <c r="R62" i="5"/>
  <c r="R60" i="5"/>
  <c r="R56" i="5"/>
  <c r="R50" i="5"/>
  <c r="R48" i="5"/>
  <c r="R46" i="5"/>
  <c r="R44" i="5"/>
  <c r="R40" i="5"/>
  <c r="R36" i="5"/>
  <c r="R34" i="5"/>
  <c r="R33" i="5"/>
  <c r="R32" i="5"/>
  <c r="R24" i="5"/>
  <c r="R20" i="5"/>
  <c r="AB18" i="5"/>
  <c r="R6" i="5"/>
  <c r="AB6" i="5"/>
  <c r="B90" i="4"/>
  <c r="H67" i="4"/>
  <c r="P47" i="4"/>
  <c r="P46" i="4"/>
  <c r="P45" i="4"/>
  <c r="P44" i="4"/>
  <c r="P43" i="4"/>
  <c r="Q43" i="4"/>
  <c r="P41" i="4"/>
  <c r="P40" i="4"/>
  <c r="P39" i="4"/>
  <c r="P38" i="4"/>
  <c r="P37" i="4"/>
  <c r="Q37" i="4"/>
  <c r="P35" i="4"/>
  <c r="P34" i="4"/>
  <c r="P33" i="4"/>
  <c r="P32" i="4"/>
  <c r="P31" i="4"/>
  <c r="Q31" i="4"/>
  <c r="P29" i="4"/>
  <c r="P28" i="4"/>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H1753" i="5"/>
  <c r="X75" i="5"/>
  <c r="I764" i="5"/>
  <c r="I2158" i="5"/>
  <c r="R70" i="5"/>
  <c r="AB364" i="5"/>
  <c r="R488" i="5"/>
  <c r="H1178" i="5"/>
  <c r="J1218" i="5"/>
  <c r="J1250" i="5"/>
  <c r="AB1312" i="5"/>
  <c r="F2013" i="5"/>
  <c r="AB2065" i="5"/>
  <c r="AB2152" i="5"/>
  <c r="H2474" i="5"/>
  <c r="X171" i="5"/>
  <c r="AB196"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AB231" i="5"/>
  <c r="AB838" i="5"/>
  <c r="AB983" i="5"/>
  <c r="AB1288" i="5"/>
  <c r="AB1455" i="5"/>
  <c r="J1551" i="5"/>
  <c r="AB2146" i="5"/>
  <c r="AB2089" i="5"/>
  <c r="AB340" i="5"/>
  <c r="AB469" i="5"/>
  <c r="AB473" i="5"/>
  <c r="AB666" i="5"/>
  <c r="J1230" i="5"/>
  <c r="AB1241" i="5"/>
  <c r="AB1531" i="5"/>
  <c r="AB1779" i="5"/>
  <c r="J2045" i="5"/>
  <c r="AB2053" i="5"/>
  <c r="AB2225" i="5"/>
  <c r="AB2229" i="5"/>
  <c r="AB2435" i="5"/>
  <c r="I802" i="5"/>
  <c r="F802" i="5"/>
  <c r="I940" i="5"/>
  <c r="H940" i="5"/>
  <c r="R780" i="5"/>
  <c r="I780" i="5"/>
  <c r="I393" i="5"/>
  <c r="J393" i="5"/>
  <c r="F393" i="5"/>
  <c r="R630" i="5"/>
  <c r="R612" i="5"/>
  <c r="F612" i="5"/>
  <c r="H1165" i="5"/>
  <c r="F1165" i="5"/>
  <c r="F539" i="5"/>
  <c r="I539" i="5"/>
  <c r="J782" i="5"/>
  <c r="R376" i="5"/>
  <c r="F376" i="5"/>
  <c r="R301" i="5"/>
  <c r="F594" i="5"/>
  <c r="S1305" i="5"/>
  <c r="AB1743" i="5"/>
  <c r="S1743" i="5"/>
  <c r="AB1802" i="5"/>
  <c r="F1909" i="5"/>
  <c r="R1909" i="5"/>
  <c r="H1909" i="5"/>
  <c r="R2458" i="5"/>
  <c r="I2458" i="5"/>
  <c r="AB30" i="5"/>
  <c r="AB126"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R97" i="5"/>
  <c r="X97" i="5"/>
  <c r="X79" i="5"/>
  <c r="X47" i="5"/>
  <c r="R127" i="5"/>
  <c r="X127" i="5"/>
  <c r="AB895" i="5"/>
  <c r="S895" i="5"/>
  <c r="AB1863" i="5"/>
  <c r="S1863" i="5"/>
  <c r="R54" i="5"/>
  <c r="AB210" i="5"/>
  <c r="R225" i="5"/>
  <c r="X225" i="5"/>
  <c r="F357" i="5"/>
  <c r="R463" i="5"/>
  <c r="F586" i="5"/>
  <c r="I714" i="5"/>
  <c r="J714" i="5"/>
  <c r="S738" i="5"/>
  <c r="R94" i="5"/>
  <c r="AB170" i="5"/>
  <c r="H452" i="5"/>
  <c r="F452" i="5"/>
  <c r="S1497" i="5"/>
  <c r="X63" i="5"/>
  <c r="X237" i="5"/>
  <c r="AB262" i="5"/>
  <c r="AB298" i="5"/>
  <c r="F451" i="5"/>
  <c r="R453" i="5"/>
  <c r="J453" i="5"/>
  <c r="H453" i="5"/>
  <c r="F453" i="5"/>
  <c r="X107" i="5"/>
  <c r="R125" i="5"/>
  <c r="AB1447" i="5"/>
  <c r="S1447" i="5"/>
  <c r="AB114" i="5"/>
  <c r="R123" i="5"/>
  <c r="X187" i="5"/>
  <c r="R187" i="5"/>
  <c r="I361" i="5"/>
  <c r="J361" i="5"/>
  <c r="H361" i="5"/>
  <c r="F361" i="5"/>
  <c r="I479" i="5"/>
  <c r="H479" i="5"/>
  <c r="F574" i="5"/>
  <c r="S641" i="5"/>
  <c r="F468" i="5"/>
  <c r="R562" i="5"/>
  <c r="I1848" i="5"/>
  <c r="H1848" i="5"/>
  <c r="AB166" i="5"/>
  <c r="R245" i="5"/>
  <c r="I461" i="5"/>
  <c r="F461" i="5"/>
  <c r="J552" i="5"/>
  <c r="H552" i="5"/>
  <c r="AB178" i="5"/>
  <c r="R299" i="5"/>
  <c r="I392" i="5"/>
  <c r="H392" i="5"/>
  <c r="AB110" i="5"/>
  <c r="R30"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604" i="5"/>
  <c r="R644" i="5"/>
  <c r="I722" i="5"/>
  <c r="J722" i="5"/>
  <c r="F788" i="5"/>
  <c r="R851" i="5"/>
  <c r="AB851" i="5"/>
  <c r="S916" i="5"/>
  <c r="S979" i="5"/>
  <c r="AB982" i="5"/>
  <c r="F986" i="5"/>
  <c r="H986" i="5"/>
  <c r="AB1026" i="5"/>
  <c r="S1026" i="5"/>
  <c r="F1086" i="5"/>
  <c r="AB1086" i="5"/>
  <c r="AB132" i="5"/>
  <c r="AB190" i="5"/>
  <c r="AB263" i="5"/>
  <c r="AB275" i="5"/>
  <c r="AB357" i="5"/>
  <c r="AB365" i="5"/>
  <c r="AB434" i="5"/>
  <c r="F498" i="5"/>
  <c r="AB551" i="5"/>
  <c r="F560" i="5"/>
  <c r="AB696" i="5"/>
  <c r="R696" i="5"/>
  <c r="S713" i="5"/>
  <c r="S745" i="5"/>
  <c r="AB808" i="5"/>
  <c r="H872" i="5"/>
  <c r="AB872" i="5"/>
  <c r="AB882" i="5"/>
  <c r="S882" i="5"/>
  <c r="S950" i="5"/>
  <c r="F975" i="5"/>
  <c r="H975" i="5"/>
  <c r="H1103" i="5"/>
  <c r="F1103" i="5"/>
  <c r="X175" i="5"/>
  <c r="R616" i="5"/>
  <c r="S639" i="5"/>
  <c r="S649" i="5"/>
  <c r="R685" i="5"/>
  <c r="H685" i="5"/>
  <c r="S733" i="5"/>
  <c r="F768" i="5"/>
  <c r="F786" i="5"/>
  <c r="AB836" i="5"/>
  <c r="S911" i="5"/>
  <c r="S927" i="5"/>
  <c r="S938" i="5"/>
  <c r="S976" i="5"/>
  <c r="AB1014" i="5"/>
  <c r="S1014" i="5"/>
  <c r="H1075" i="5"/>
  <c r="F1075" i="5"/>
  <c r="F1083" i="5"/>
  <c r="H1083" i="5"/>
  <c r="AB207" i="5"/>
  <c r="AB215"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X720"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X61" i="5"/>
  <c r="X73" i="5"/>
  <c r="R109" i="5"/>
  <c r="R169" i="5"/>
  <c r="X169" i="5"/>
  <c r="X195" i="5"/>
  <c r="R195" i="5"/>
  <c r="R67" i="5"/>
  <c r="X67" i="5"/>
  <c r="R19" i="5"/>
  <c r="X19" i="5"/>
  <c r="X35" i="5"/>
  <c r="X139" i="5"/>
  <c r="X193" i="5"/>
  <c r="X227" i="5"/>
  <c r="R41" i="5"/>
  <c r="X41" i="5"/>
  <c r="R143" i="5"/>
  <c r="X143" i="5"/>
  <c r="X177" i="5"/>
  <c r="R177" i="5"/>
  <c r="X183" i="5"/>
  <c r="X247" i="5"/>
  <c r="R247" i="5"/>
  <c r="X259" i="5"/>
  <c r="R259" i="5"/>
  <c r="R173" i="5"/>
  <c r="X93" i="5"/>
  <c r="R99" i="5"/>
  <c r="X99" i="5"/>
  <c r="R135" i="5"/>
  <c r="X135" i="5"/>
  <c r="X159" i="5"/>
  <c r="I373" i="5"/>
  <c r="R373" i="5"/>
  <c r="J373" i="5"/>
  <c r="H373" i="5"/>
  <c r="F373" i="5"/>
  <c r="X27" i="5"/>
  <c r="X83" i="5"/>
  <c r="R51" i="5"/>
  <c r="X51" i="5"/>
  <c r="R77" i="5"/>
  <c r="X77" i="5"/>
  <c r="X89" i="5"/>
  <c r="X129" i="5"/>
  <c r="R199" i="5"/>
  <c r="X199" i="5"/>
  <c r="X131" i="5"/>
  <c r="R131" i="5"/>
  <c r="R57" i="5"/>
  <c r="X57" i="5"/>
  <c r="R105" i="5"/>
  <c r="X105" i="5"/>
  <c r="X119" i="5"/>
  <c r="R119" i="5"/>
  <c r="X223" i="5"/>
  <c r="R229" i="5"/>
  <c r="X229" i="5"/>
  <c r="R337" i="5"/>
  <c r="J337" i="5"/>
  <c r="H337" i="5"/>
  <c r="F337" i="5"/>
  <c r="X31" i="5"/>
  <c r="X113" i="5"/>
  <c r="R113" i="5"/>
  <c r="R155" i="5"/>
  <c r="X155" i="5"/>
  <c r="X203" i="5"/>
  <c r="R249" i="5"/>
  <c r="R39" i="5"/>
  <c r="AB140" i="5"/>
  <c r="AB156" i="5"/>
  <c r="AB160" i="5"/>
  <c r="AB204" i="5"/>
  <c r="AB211" i="5"/>
  <c r="R231" i="5"/>
  <c r="R289" i="5"/>
  <c r="X289" i="5"/>
  <c r="X295" i="5"/>
  <c r="R295" i="5"/>
  <c r="I347" i="5"/>
  <c r="F347" i="5"/>
  <c r="R360" i="5"/>
  <c r="F360" i="5"/>
  <c r="R404" i="5"/>
  <c r="I404" i="5"/>
  <c r="I437" i="5"/>
  <c r="R437" i="5"/>
  <c r="J437" i="5"/>
  <c r="H437" i="5"/>
  <c r="X444" i="5"/>
  <c r="R444" i="5"/>
  <c r="I444" i="5"/>
  <c r="H444" i="5"/>
  <c r="I448" i="5"/>
  <c r="H448" i="5"/>
  <c r="F448" i="5"/>
  <c r="AB455" i="5"/>
  <c r="I457" i="5"/>
  <c r="R457" i="5"/>
  <c r="J457" i="5"/>
  <c r="F457" i="5"/>
  <c r="J492" i="5"/>
  <c r="H492" i="5"/>
  <c r="R492" i="5"/>
  <c r="J548" i="5"/>
  <c r="H548" i="5"/>
  <c r="F548" i="5"/>
  <c r="R693" i="5"/>
  <c r="J693" i="5"/>
  <c r="H693" i="5"/>
  <c r="R699" i="5"/>
  <c r="H699" i="5"/>
  <c r="R704" i="5"/>
  <c r="H704" i="5"/>
  <c r="AB222" i="5"/>
  <c r="AB254" i="5"/>
  <c r="AB258" i="5"/>
  <c r="AB270"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X45" i="5"/>
  <c r="X55" i="5"/>
  <c r="AB118" i="5"/>
  <c r="AB130" i="5"/>
  <c r="X179" i="5"/>
  <c r="AB182" i="5"/>
  <c r="AB194" i="5"/>
  <c r="R235" i="5"/>
  <c r="X263" i="5"/>
  <c r="X299" i="5"/>
  <c r="AB31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X219" i="5"/>
  <c r="AB290" i="5"/>
  <c r="I349" i="5"/>
  <c r="J349" i="5"/>
  <c r="H349" i="5"/>
  <c r="F349" i="5"/>
  <c r="I381" i="5"/>
  <c r="J381" i="5"/>
  <c r="H381" i="5"/>
  <c r="F381" i="5"/>
  <c r="I408" i="5"/>
  <c r="H408" i="5"/>
  <c r="F408" i="5"/>
  <c r="I425" i="5"/>
  <c r="J425" i="5"/>
  <c r="H425" i="5"/>
  <c r="F425" i="5"/>
  <c r="R58" i="5"/>
  <c r="X23" i="5"/>
  <c r="AB26" i="5"/>
  <c r="X39" i="5"/>
  <c r="AB22" i="5"/>
  <c r="R25" i="5"/>
  <c r="R47" i="5"/>
  <c r="R63" i="5"/>
  <c r="R79" i="5"/>
  <c r="AB108" i="5"/>
  <c r="X111" i="5"/>
  <c r="AB124" i="5"/>
  <c r="AB128" i="5"/>
  <c r="X137" i="5"/>
  <c r="AB146" i="5"/>
  <c r="X167" i="5"/>
  <c r="AB172" i="5"/>
  <c r="AB188" i="5"/>
  <c r="AB192" i="5"/>
  <c r="AB206" i="5"/>
  <c r="AB214" i="5"/>
  <c r="AB226" i="5"/>
  <c r="X231" i="5"/>
  <c r="R273" i="5"/>
  <c r="X273" i="5"/>
  <c r="R285" i="5"/>
  <c r="R291" i="5"/>
  <c r="AB29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AB134" i="5"/>
  <c r="AB142" i="5"/>
  <c r="X145" i="5"/>
  <c r="X161" i="5"/>
  <c r="AB198" i="5"/>
  <c r="X255" i="5"/>
  <c r="X267" i="5"/>
  <c r="X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X33" i="5"/>
  <c r="X49" i="5"/>
  <c r="X65" i="5"/>
  <c r="X81" i="5"/>
  <c r="X110" i="5"/>
  <c r="AB138" i="5"/>
  <c r="AB154" i="5"/>
  <c r="AB158" i="5"/>
  <c r="AB202" i="5"/>
  <c r="AB223" i="5"/>
  <c r="AB238" i="5"/>
  <c r="X245" i="5"/>
  <c r="AB246" i="5"/>
  <c r="AB259" i="5"/>
  <c r="AB274" i="5"/>
  <c r="X275" i="5"/>
  <c r="R275" i="5"/>
  <c r="R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AB32" i="5"/>
  <c r="X53" i="5"/>
  <c r="X69" i="5"/>
  <c r="X85" i="5"/>
  <c r="X95" i="5"/>
  <c r="R145" i="5"/>
  <c r="X147" i="5"/>
  <c r="AB162" i="5"/>
  <c r="R165" i="5"/>
  <c r="AB227" i="5"/>
  <c r="AB247" i="5"/>
  <c r="R26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X304" i="5"/>
  <c r="AB23" i="5"/>
  <c r="X28" i="5"/>
  <c r="AB115" i="5"/>
  <c r="R146" i="5"/>
  <c r="AB179" i="5"/>
  <c r="AB201" i="5"/>
  <c r="R234" i="5"/>
  <c r="R286" i="5"/>
  <c r="AB320" i="5"/>
  <c r="AB412" i="5"/>
  <c r="AB105" i="5"/>
  <c r="R114" i="5"/>
  <c r="AB137" i="5"/>
  <c r="AB147" i="5"/>
  <c r="AB169" i="5"/>
  <c r="R178" i="5"/>
  <c r="AB240" i="5"/>
  <c r="R311" i="5"/>
  <c r="AB20" i="5"/>
  <c r="R21" i="5"/>
  <c r="AB28" i="5"/>
  <c r="R29" i="5"/>
  <c r="AB34" i="5"/>
  <c r="AB38" i="5"/>
  <c r="AB42" i="5"/>
  <c r="AB46" i="5"/>
  <c r="AB50" i="5"/>
  <c r="AB54" i="5"/>
  <c r="AB58" i="5"/>
  <c r="AB62" i="5"/>
  <c r="AB66" i="5"/>
  <c r="AB70" i="5"/>
  <c r="AB74" i="5"/>
  <c r="AB78" i="5"/>
  <c r="AB82" i="5"/>
  <c r="AB86" i="5"/>
  <c r="AB90" i="5"/>
  <c r="AB94" i="5"/>
  <c r="AB98" i="5"/>
  <c r="AB104" i="5"/>
  <c r="AB117" i="5"/>
  <c r="X125" i="5"/>
  <c r="AB127" i="5"/>
  <c r="AB136" i="5"/>
  <c r="AB149" i="5"/>
  <c r="X157" i="5"/>
  <c r="AB159" i="5"/>
  <c r="AB168" i="5"/>
  <c r="AB181" i="5"/>
  <c r="R190" i="5"/>
  <c r="AB191" i="5"/>
  <c r="AB200" i="5"/>
  <c r="R218" i="5"/>
  <c r="AB220" i="5"/>
  <c r="R238" i="5"/>
  <c r="AB244" i="5"/>
  <c r="AB260" i="5"/>
  <c r="AB276" i="5"/>
  <c r="AB292" i="5"/>
  <c r="AB5" i="5"/>
  <c r="AB21" i="5"/>
  <c r="AB29" i="5"/>
  <c r="AB35" i="5"/>
  <c r="AB39" i="5"/>
  <c r="AB43" i="5"/>
  <c r="AB47" i="5"/>
  <c r="AB51" i="5"/>
  <c r="AB55" i="5"/>
  <c r="AB59" i="5"/>
  <c r="AB63" i="5"/>
  <c r="AB67" i="5"/>
  <c r="AB71" i="5"/>
  <c r="AB75" i="5"/>
  <c r="AB79" i="5"/>
  <c r="AB83" i="5"/>
  <c r="AB87" i="5"/>
  <c r="AB91" i="5"/>
  <c r="AB95" i="5"/>
  <c r="AB99" i="5"/>
  <c r="R106" i="5"/>
  <c r="AB107" i="5"/>
  <c r="AB116" i="5"/>
  <c r="AB129" i="5"/>
  <c r="R138" i="5"/>
  <c r="AB139" i="5"/>
  <c r="AB148" i="5"/>
  <c r="AB161" i="5"/>
  <c r="R170" i="5"/>
  <c r="AB171" i="5"/>
  <c r="AB180" i="5"/>
  <c r="AB193" i="5"/>
  <c r="R202" i="5"/>
  <c r="AB203" i="5"/>
  <c r="AB209" i="5"/>
  <c r="R242" i="5"/>
  <c r="R258" i="5"/>
  <c r="R274" i="5"/>
  <c r="R323" i="5"/>
  <c r="AB360" i="5"/>
  <c r="R371" i="5"/>
  <c r="J371" i="5"/>
  <c r="H371" i="5"/>
  <c r="I371" i="5"/>
  <c r="F371" i="5"/>
  <c r="R383" i="5"/>
  <c r="J383" i="5"/>
  <c r="H383" i="5"/>
  <c r="I383" i="5"/>
  <c r="F383" i="5"/>
  <c r="AB119" i="5"/>
  <c r="AB151" i="5"/>
  <c r="AB173" i="5"/>
  <c r="X181" i="5"/>
  <c r="AB183" i="5"/>
  <c r="AB205" i="5"/>
  <c r="AB212" i="5"/>
  <c r="AB248" i="5"/>
  <c r="AB264" i="5"/>
  <c r="AB280" i="5"/>
  <c r="AB296" i="5"/>
  <c r="AB328" i="5"/>
  <c r="R351" i="5"/>
  <c r="J351" i="5"/>
  <c r="H351" i="5"/>
  <c r="I351" i="5"/>
  <c r="F351" i="5"/>
  <c r="AB358" i="5"/>
  <c r="X5" i="5"/>
  <c r="AB121" i="5"/>
  <c r="R130" i="5"/>
  <c r="AB131" i="5"/>
  <c r="AB153" i="5"/>
  <c r="AB163" i="5"/>
  <c r="AB185" i="5"/>
  <c r="AB195" i="5"/>
  <c r="R206" i="5"/>
  <c r="X209" i="5"/>
  <c r="R213" i="5"/>
  <c r="R222" i="5"/>
  <c r="AB224" i="5"/>
  <c r="R278" i="5"/>
  <c r="R307" i="5"/>
  <c r="X307" i="5"/>
  <c r="AB408" i="5"/>
  <c r="AB109" i="5"/>
  <c r="X117" i="5"/>
  <c r="AB141" i="5"/>
  <c r="R150" i="5"/>
  <c r="AB19" i="5"/>
  <c r="AB27" i="5"/>
  <c r="X29" i="5"/>
  <c r="X24" i="5"/>
  <c r="R28" i="5"/>
  <c r="X32" i="5"/>
  <c r="AB36" i="5"/>
  <c r="AB40" i="5"/>
  <c r="AB44" i="5"/>
  <c r="AB48" i="5"/>
  <c r="AB52" i="5"/>
  <c r="AB56" i="5"/>
  <c r="AB60" i="5"/>
  <c r="AB64" i="5"/>
  <c r="AB68" i="5"/>
  <c r="AB72" i="5"/>
  <c r="AB76" i="5"/>
  <c r="AB80" i="5"/>
  <c r="AB84" i="5"/>
  <c r="AB88" i="5"/>
  <c r="AB92" i="5"/>
  <c r="AB96" i="5"/>
  <c r="AB100" i="5"/>
  <c r="AB101" i="5"/>
  <c r="X109" i="5"/>
  <c r="R110" i="5"/>
  <c r="AB111" i="5"/>
  <c r="AB120" i="5"/>
  <c r="AB133" i="5"/>
  <c r="X141" i="5"/>
  <c r="AB143" i="5"/>
  <c r="AB152" i="5"/>
  <c r="AB165" i="5"/>
  <c r="X173" i="5"/>
  <c r="R174" i="5"/>
  <c r="AB175" i="5"/>
  <c r="AB184" i="5"/>
  <c r="AB197" i="5"/>
  <c r="X205" i="5"/>
  <c r="AB208" i="5"/>
  <c r="AB228" i="5"/>
  <c r="AB252" i="5"/>
  <c r="AB268" i="5"/>
  <c r="AB284" i="5"/>
  <c r="AB300" i="5"/>
  <c r="AB303" i="5"/>
  <c r="AB312" i="5"/>
  <c r="J384" i="5"/>
  <c r="R384" i="5"/>
  <c r="I384" i="5"/>
  <c r="H384" i="5"/>
  <c r="F384" i="5"/>
  <c r="AB402" i="5"/>
  <c r="AB31" i="5"/>
  <c r="AB25" i="5"/>
  <c r="AB37" i="5"/>
  <c r="AB45" i="5"/>
  <c r="AB53" i="5"/>
  <c r="AB57" i="5"/>
  <c r="AB61" i="5"/>
  <c r="AB65" i="5"/>
  <c r="AB69" i="5"/>
  <c r="AB73" i="5"/>
  <c r="AB81" i="5"/>
  <c r="AB89" i="5"/>
  <c r="AB113" i="5"/>
  <c r="AB123" i="5"/>
  <c r="AB145" i="5"/>
  <c r="R149" i="5"/>
  <c r="X153" i="5"/>
  <c r="AB155" i="5"/>
  <c r="AB177" i="5"/>
  <c r="X185" i="5"/>
  <c r="R186" i="5"/>
  <c r="AB187" i="5"/>
  <c r="R209" i="5"/>
  <c r="AB216" i="5"/>
  <c r="R226" i="5"/>
  <c r="AB232" i="5"/>
  <c r="R266" i="5"/>
  <c r="R282" i="5"/>
  <c r="R298" i="5"/>
  <c r="R327" i="5"/>
  <c r="J352" i="5"/>
  <c r="R352" i="5"/>
  <c r="I352" i="5"/>
  <c r="H352" i="5"/>
  <c r="F352" i="5"/>
  <c r="AB361" i="5"/>
  <c r="I470" i="5"/>
  <c r="H470" i="5"/>
  <c r="F470" i="5"/>
  <c r="R470" i="5"/>
  <c r="J470" i="5"/>
  <c r="I494" i="5"/>
  <c r="H494" i="5"/>
  <c r="R494" i="5"/>
  <c r="J494" i="5"/>
  <c r="F494" i="5"/>
  <c r="AB33" i="5"/>
  <c r="AB41" i="5"/>
  <c r="AB49" i="5"/>
  <c r="AB77" i="5"/>
  <c r="AB85" i="5"/>
  <c r="AB93" i="5"/>
  <c r="AB97" i="5"/>
  <c r="X36" i="5"/>
  <c r="X40" i="5"/>
  <c r="X52" i="5"/>
  <c r="X56" i="5"/>
  <c r="X60" i="5"/>
  <c r="X64" i="5"/>
  <c r="X68" i="5"/>
  <c r="X72" i="5"/>
  <c r="X80" i="5"/>
  <c r="X84" i="5"/>
  <c r="X88" i="5"/>
  <c r="X101" i="5"/>
  <c r="R102" i="5"/>
  <c r="AB103" i="5"/>
  <c r="AB112" i="5"/>
  <c r="AB125" i="5"/>
  <c r="R129" i="5"/>
  <c r="X133" i="5"/>
  <c r="R134" i="5"/>
  <c r="AB135" i="5"/>
  <c r="AB144" i="5"/>
  <c r="AB157" i="5"/>
  <c r="AB167" i="5"/>
  <c r="AB176" i="5"/>
  <c r="AB189" i="5"/>
  <c r="X197" i="5"/>
  <c r="R198" i="5"/>
  <c r="AB199" i="5"/>
  <c r="AB236" i="5"/>
  <c r="AB256" i="5"/>
  <c r="AB272" i="5"/>
  <c r="AB288" i="5"/>
  <c r="R315" i="5"/>
  <c r="R335" i="5"/>
  <c r="H335" i="5"/>
  <c r="J335" i="5"/>
  <c r="I335" i="5"/>
  <c r="F335" i="5"/>
  <c r="X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AB225" i="5"/>
  <c r="AB229" i="5"/>
  <c r="AB233" i="5"/>
  <c r="AB237" i="5"/>
  <c r="AB241" i="5"/>
  <c r="AB245" i="5"/>
  <c r="AB249" i="5"/>
  <c r="AB253" i="5"/>
  <c r="AB257" i="5"/>
  <c r="AB261" i="5"/>
  <c r="AB265" i="5"/>
  <c r="AB269" i="5"/>
  <c r="AB273" i="5"/>
  <c r="AB277" i="5"/>
  <c r="AB281" i="5"/>
  <c r="AB285" i="5"/>
  <c r="AB289" i="5"/>
  <c r="AB293" i="5"/>
  <c r="AB297" i="5"/>
  <c r="AB301" i="5"/>
  <c r="R302" i="5"/>
  <c r="R304" i="5"/>
  <c r="AB310" i="5"/>
  <c r="AB318" i="5"/>
  <c r="AB326" i="5"/>
  <c r="AB332" i="5"/>
  <c r="I337" i="5"/>
  <c r="AB343" i="5"/>
  <c r="AB353" i="5"/>
  <c r="J356" i="5"/>
  <c r="H360" i="5"/>
  <c r="AB362" i="5"/>
  <c r="AB375" i="5"/>
  <c r="AB389" i="5"/>
  <c r="R459" i="5"/>
  <c r="F459" i="5"/>
  <c r="J459" i="5"/>
  <c r="I459" i="5"/>
  <c r="H459" i="5"/>
  <c r="AB305" i="5"/>
  <c r="AB313" i="5"/>
  <c r="AB321" i="5"/>
  <c r="AB329" i="5"/>
  <c r="F336" i="5"/>
  <c r="AB342" i="5"/>
  <c r="I360" i="5"/>
  <c r="F363" i="5"/>
  <c r="J368" i="5"/>
  <c r="AB374" i="5"/>
  <c r="AB386" i="5"/>
  <c r="F387" i="5"/>
  <c r="AB393" i="5"/>
  <c r="R399" i="5"/>
  <c r="J399" i="5"/>
  <c r="H399" i="5"/>
  <c r="I464" i="5"/>
  <c r="H464" i="5"/>
  <c r="F464" i="5"/>
  <c r="R464" i="5"/>
  <c r="J464" i="5"/>
  <c r="I478" i="5"/>
  <c r="H478" i="5"/>
  <c r="R478" i="5"/>
  <c r="J478" i="5"/>
  <c r="F478"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I336" i="5"/>
  <c r="R338" i="5"/>
  <c r="I338" i="5"/>
  <c r="F338" i="5"/>
  <c r="AB338" i="5"/>
  <c r="F344" i="5"/>
  <c r="J360" i="5"/>
  <c r="H364" i="5"/>
  <c r="AB366" i="5"/>
  <c r="AB394" i="5"/>
  <c r="AB401" i="5"/>
  <c r="AB416" i="5"/>
  <c r="R515" i="5"/>
  <c r="J515" i="5"/>
  <c r="I515" i="5"/>
  <c r="H515" i="5"/>
  <c r="F515" i="5"/>
  <c r="R318" i="5"/>
  <c r="R326" i="5"/>
  <c r="AB334" i="5"/>
  <c r="AB339" i="5"/>
  <c r="I343" i="5"/>
  <c r="H344" i="5"/>
  <c r="AB346" i="5"/>
  <c r="F356" i="5"/>
  <c r="AB359" i="5"/>
  <c r="AB369" i="5"/>
  <c r="J372" i="5"/>
  <c r="H376" i="5"/>
  <c r="AB378" i="5"/>
  <c r="AB398" i="5"/>
  <c r="F399" i="5"/>
  <c r="AB405" i="5"/>
  <c r="AB409" i="5"/>
  <c r="J336" i="5"/>
  <c r="R344" i="5"/>
  <c r="AB351" i="5"/>
  <c r="AB352" i="5"/>
  <c r="R363" i="5"/>
  <c r="J363" i="5"/>
  <c r="H363" i="5"/>
  <c r="X364"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X484" i="5"/>
  <c r="I484" i="5"/>
  <c r="AB494" i="5"/>
  <c r="AB499" i="5"/>
  <c r="I500" i="5"/>
  <c r="AB510" i="5"/>
  <c r="F514" i="5"/>
  <c r="AB515" i="5"/>
  <c r="X516"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J799" i="5"/>
  <c r="AB682" i="5"/>
  <c r="AB693" i="5"/>
  <c r="AB698" i="5"/>
  <c r="F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X1200"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X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D14" i="6"/>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F2442" i="5"/>
  <c r="J2442" i="5"/>
  <c r="I2442" i="5"/>
  <c r="H2442" i="5"/>
  <c r="AB2460" i="5"/>
  <c r="F2497" i="5"/>
  <c r="R2497" i="5"/>
  <c r="J2497" i="5"/>
  <c r="I2497" i="5"/>
  <c r="H2497" i="5"/>
  <c r="S2501" i="5"/>
  <c r="F64" i="6"/>
  <c r="G5" i="6"/>
  <c r="H5" i="6"/>
  <c r="H6"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D4" i="6"/>
  <c r="F2481" i="5"/>
  <c r="R2492" i="5"/>
  <c r="J2492" i="5"/>
  <c r="S2504" i="5"/>
  <c r="S2477" i="5"/>
  <c r="AB2482" i="5"/>
  <c r="B21" i="6"/>
  <c r="B51" i="6"/>
  <c r="G51" i="6"/>
  <c r="G16" i="6"/>
  <c r="H16" i="6"/>
  <c r="B19" i="6"/>
  <c r="A38" i="2"/>
  <c r="J4" i="5"/>
  <c r="B41" i="4"/>
  <c r="B53" i="4" s="1"/>
  <c r="A37" i="6" s="1"/>
  <c r="A55" i="2"/>
  <c r="A73" i="2"/>
  <c r="B9" i="3"/>
  <c r="A3" i="2"/>
  <c r="A20" i="2"/>
  <c r="B17" i="3"/>
  <c r="B29" i="4"/>
  <c r="A17" i="6" s="1"/>
  <c r="B25" i="3"/>
  <c r="C20" i="3"/>
  <c r="A75" i="2"/>
  <c r="C25" i="3"/>
  <c r="N4" i="5"/>
  <c r="A43" i="2"/>
  <c r="C3" i="3"/>
  <c r="C19" i="3"/>
  <c r="B31" i="4"/>
  <c r="A18" i="6" s="1"/>
  <c r="P4" i="5"/>
  <c r="A45" i="2"/>
  <c r="C4" i="3"/>
  <c r="B26" i="4"/>
  <c r="A14" i="6" s="1"/>
  <c r="A12" i="2"/>
  <c r="A29" i="2"/>
  <c r="A46" i="2"/>
  <c r="A63" i="2"/>
  <c r="B5" i="3"/>
  <c r="B13" i="3"/>
  <c r="B21" i="3"/>
  <c r="B29" i="3"/>
  <c r="B9" i="4"/>
  <c r="A5" i="6" s="1"/>
  <c r="B39" i="4"/>
  <c r="B63" i="4" s="1"/>
  <c r="A45" i="6" s="1"/>
  <c r="G3" i="5"/>
  <c r="B19" i="4"/>
  <c r="H74" i="4"/>
  <c r="A11" i="2"/>
  <c r="A28" i="2"/>
  <c r="A62" i="2"/>
  <c r="C12" i="3"/>
  <c r="C28" i="3"/>
  <c r="B7" i="4"/>
  <c r="B87" i="4"/>
  <c r="A62" i="6" s="1"/>
  <c r="J2" i="5"/>
  <c r="A13" i="2"/>
  <c r="A30" i="2"/>
  <c r="A48" i="2"/>
  <c r="A64" i="2"/>
  <c r="C5" i="3"/>
  <c r="C13" i="3"/>
  <c r="C21" i="3"/>
  <c r="C29" i="3"/>
  <c r="B67" i="4"/>
  <c r="A48" i="6" s="1"/>
  <c r="B73" i="4"/>
  <c r="B4" i="5"/>
  <c r="B2006" i="7"/>
  <c r="A21" i="2"/>
  <c r="A39" i="2"/>
  <c r="C17" i="3"/>
  <c r="B55" i="4"/>
  <c r="A38" i="6" s="1"/>
  <c r="A4" i="2"/>
  <c r="A56" i="2"/>
  <c r="C9" i="3"/>
  <c r="B4" i="4"/>
  <c r="B24" i="4"/>
  <c r="B79" i="4"/>
  <c r="A57" i="6" s="1"/>
  <c r="A9" i="2"/>
  <c r="A26" i="2"/>
  <c r="A60" i="2"/>
  <c r="C11" i="3"/>
  <c r="C27" i="3"/>
  <c r="D25" i="4"/>
  <c r="D49" i="4" s="1"/>
  <c r="B83" i="4"/>
  <c r="A59" i="6"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C26" i="6" s="1"/>
  <c r="J37" i="6"/>
  <c r="J45" i="6"/>
  <c r="I46" i="6"/>
  <c r="C46" i="6" s="1"/>
  <c r="I54" i="6"/>
  <c r="C54" i="6" s="1"/>
  <c r="J63" i="6"/>
  <c r="J64" i="6"/>
  <c r="J66" i="6"/>
  <c r="I67" i="6"/>
  <c r="A1" i="8"/>
  <c r="I19" i="6"/>
  <c r="C19" i="6" s="1"/>
  <c r="J26" i="6"/>
  <c r="I27" i="6"/>
  <c r="C27" i="6" s="1"/>
  <c r="I39" i="6"/>
  <c r="C39" i="6" s="1"/>
  <c r="J46" i="6"/>
  <c r="I47" i="6"/>
  <c r="C47" i="6" s="1"/>
  <c r="J54" i="6"/>
  <c r="I55" i="6"/>
  <c r="C55" i="6" s="1"/>
  <c r="I56" i="6"/>
  <c r="C56" i="6" s="1"/>
  <c r="L65" i="6"/>
  <c r="J67" i="6"/>
  <c r="I68" i="6"/>
  <c r="I69" i="6"/>
  <c r="A4" i="8"/>
  <c r="A23" i="2"/>
  <c r="A40" i="2"/>
  <c r="A49" i="2"/>
  <c r="A65" i="2"/>
  <c r="B2" i="3"/>
  <c r="B6" i="3"/>
  <c r="B10" i="3"/>
  <c r="B14" i="3"/>
  <c r="B22" i="3"/>
  <c r="B26" i="3"/>
  <c r="B30" i="3"/>
  <c r="I4" i="4"/>
  <c r="B12" i="4"/>
  <c r="B20" i="4"/>
  <c r="A11" i="6" s="1"/>
  <c r="B45" i="4"/>
  <c r="A30" i="6" s="1"/>
  <c r="I74" i="4"/>
  <c r="B89" i="4"/>
  <c r="A63" i="6" s="1"/>
  <c r="K4" i="5"/>
  <c r="A15" i="2"/>
  <c r="A32" i="2"/>
  <c r="A50" i="2"/>
  <c r="A66" i="2"/>
  <c r="C6" i="3"/>
  <c r="C14" i="3"/>
  <c r="C22" i="3"/>
  <c r="C30" i="3"/>
  <c r="B27" i="4"/>
  <c r="B43" i="4"/>
  <c r="A28" i="6" s="1"/>
  <c r="A3" i="6"/>
  <c r="J19" i="6"/>
  <c r="I20" i="6"/>
  <c r="C20" i="6" s="1"/>
  <c r="J27" i="6"/>
  <c r="I29" i="6"/>
  <c r="C29" i="6" s="1"/>
  <c r="I30" i="6"/>
  <c r="C30" i="6" s="1"/>
  <c r="I31" i="6"/>
  <c r="C31" i="6" s="1"/>
  <c r="I32" i="6"/>
  <c r="C32" i="6" s="1"/>
  <c r="J39" i="6"/>
  <c r="I40" i="6"/>
  <c r="C40" i="6" s="1"/>
  <c r="J47" i="6"/>
  <c r="J55" i="6"/>
  <c r="J56" i="6"/>
  <c r="I57" i="6"/>
  <c r="C57" i="6" s="1"/>
  <c r="L66" i="6"/>
  <c r="J68" i="6"/>
  <c r="B4" i="8"/>
  <c r="A6" i="2"/>
  <c r="A14" i="2"/>
  <c r="A31" i="2"/>
  <c r="A57" i="2"/>
  <c r="B18" i="3"/>
  <c r="A7" i="2"/>
  <c r="A24" i="2"/>
  <c r="A41" i="2"/>
  <c r="A58" i="2"/>
  <c r="C2" i="3"/>
  <c r="C10" i="3"/>
  <c r="C18" i="3"/>
  <c r="C26" i="3"/>
  <c r="B13" i="4"/>
  <c r="B21" i="4"/>
  <c r="B38" i="4"/>
  <c r="B56" i="4" s="1"/>
  <c r="A39" i="6" s="1"/>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M4" i="5"/>
  <c r="B3" i="6"/>
  <c r="J20" i="6"/>
  <c r="I21" i="6"/>
  <c r="C21" i="6" s="1"/>
  <c r="J29" i="6"/>
  <c r="J30" i="6"/>
  <c r="J31" i="6"/>
  <c r="J32" i="6"/>
  <c r="J40" i="6"/>
  <c r="I41" i="6"/>
  <c r="C41" i="6" s="1"/>
  <c r="I49" i="6"/>
  <c r="C49" i="6" s="1"/>
  <c r="J57" i="6"/>
  <c r="I58" i="6"/>
  <c r="C58" i="6" s="1"/>
  <c r="L67" i="6"/>
  <c r="A1" i="7"/>
  <c r="D4" i="8"/>
  <c r="C3" i="6"/>
  <c r="I4" i="6"/>
  <c r="C4" i="6" s="1"/>
  <c r="I5" i="6"/>
  <c r="C5" i="6" s="1"/>
  <c r="J21" i="6"/>
  <c r="I22" i="6"/>
  <c r="C22" i="6" s="1"/>
  <c r="I34" i="6"/>
  <c r="C34" i="6" s="1"/>
  <c r="J41" i="6"/>
  <c r="I42" i="6"/>
  <c r="C42" i="6" s="1"/>
  <c r="J49" i="6"/>
  <c r="I50" i="6"/>
  <c r="C50" i="6" s="1"/>
  <c r="J58" i="6"/>
  <c r="I59" i="6"/>
  <c r="C59" i="6" s="1"/>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J5" i="6"/>
  <c r="I6" i="6"/>
  <c r="C6" i="6" s="1"/>
  <c r="I7" i="6"/>
  <c r="C7" i="6" s="1"/>
  <c r="I8" i="6"/>
  <c r="C8" i="6" s="1"/>
  <c r="I9" i="6"/>
  <c r="C9" i="6" s="1"/>
  <c r="I10" i="6"/>
  <c r="C10" i="6" s="1"/>
  <c r="I11" i="6"/>
  <c r="C11" i="6" s="1"/>
  <c r="I12" i="6"/>
  <c r="C12" i="6" s="1"/>
  <c r="J22" i="6"/>
  <c r="J34" i="6"/>
  <c r="I35" i="6"/>
  <c r="C35" i="6" s="1"/>
  <c r="J42" i="6"/>
  <c r="J50" i="6"/>
  <c r="I51" i="6"/>
  <c r="C51" i="6" s="1"/>
  <c r="J59" i="6"/>
  <c r="I60" i="6"/>
  <c r="C60" i="6" s="1"/>
  <c r="C5" i="7"/>
  <c r="D1" i="6"/>
  <c r="J6" i="6"/>
  <c r="J7" i="6"/>
  <c r="J8" i="6"/>
  <c r="J9" i="6"/>
  <c r="J10" i="6"/>
  <c r="J11" i="6"/>
  <c r="J12" i="6"/>
  <c r="I24" i="6"/>
  <c r="C24" i="6" s="1"/>
  <c r="J35" i="6"/>
  <c r="I36" i="6"/>
  <c r="C36" i="6" s="1"/>
  <c r="I44" i="6"/>
  <c r="C44" i="6" s="1"/>
  <c r="J51" i="6"/>
  <c r="I52" i="6"/>
  <c r="C52" i="6" s="1"/>
  <c r="J60" i="6"/>
  <c r="I62" i="6"/>
  <c r="C62" i="6" s="1"/>
  <c r="I65" i="6"/>
  <c r="D5" i="7"/>
  <c r="B10" i="4"/>
  <c r="A6" i="6" s="1"/>
  <c r="B18" i="4"/>
  <c r="A10" i="6" s="1"/>
  <c r="G25" i="4"/>
  <c r="G43" i="4" s="1"/>
  <c r="B44" i="4"/>
  <c r="A29" i="6" s="1"/>
  <c r="B49" i="4"/>
  <c r="A33" i="6" s="1"/>
  <c r="B85" i="4"/>
  <c r="A60" i="6" s="1"/>
  <c r="A4" i="5"/>
  <c r="I4" i="5"/>
  <c r="I14" i="6"/>
  <c r="C14" i="6" s="1"/>
  <c r="I15" i="6"/>
  <c r="C15" i="6" s="1"/>
  <c r="I16" i="6"/>
  <c r="C16" i="6" s="1"/>
  <c r="I17" i="6"/>
  <c r="C17" i="6" s="1"/>
  <c r="J24" i="6"/>
  <c r="I25" i="6"/>
  <c r="C25" i="6" s="1"/>
  <c r="J36" i="6"/>
  <c r="I37" i="6"/>
  <c r="C37" i="6" s="1"/>
  <c r="J44" i="6"/>
  <c r="I45" i="6"/>
  <c r="C45" i="6" s="1"/>
  <c r="J52" i="6"/>
  <c r="J62" i="6"/>
  <c r="I63" i="6"/>
  <c r="C63" i="6" s="1"/>
  <c r="I64" i="6"/>
  <c r="J65" i="6"/>
  <c r="I66" i="6"/>
  <c r="B58" i="1"/>
  <c r="F4" i="8"/>
  <c r="H4" i="8"/>
  <c r="I4" i="8"/>
  <c r="C4" i="8"/>
  <c r="S491" i="5"/>
  <c r="S511" i="5"/>
  <c r="S344" i="5"/>
  <c r="S397" i="5"/>
  <c r="S401" i="5"/>
  <c r="S409" i="5"/>
  <c r="S372" i="5"/>
  <c r="S437" i="5"/>
  <c r="S428" i="5"/>
  <c r="S452" i="5"/>
  <c r="S548" i="5"/>
  <c r="S377" i="5"/>
  <c r="S349" i="5"/>
  <c r="S539" i="5"/>
  <c r="S361" i="5"/>
  <c r="S417" i="5"/>
  <c r="S432" i="5"/>
  <c r="S560" i="5"/>
  <c r="S510" i="5"/>
  <c r="S341" i="5"/>
  <c r="S388" i="5"/>
  <c r="S429" i="5"/>
  <c r="S449" i="5"/>
  <c r="S457" i="5"/>
  <c r="S436" i="5"/>
  <c r="S416" i="5"/>
  <c r="S441" i="5"/>
  <c r="S572" i="5"/>
  <c r="S440" i="5"/>
  <c r="S568" i="5"/>
  <c r="S468" i="5"/>
  <c r="S543" i="5"/>
  <c r="S408" i="5"/>
  <c r="S352" i="5"/>
  <c r="S389" i="5"/>
  <c r="S404" i="5"/>
  <c r="S421" i="5"/>
  <c r="S464" i="5"/>
  <c r="S552" i="5"/>
  <c r="S586" i="5"/>
  <c r="S479" i="5"/>
  <c r="S364" i="5"/>
  <c r="S392" i="5"/>
  <c r="S348" i="5"/>
  <c r="S433" i="5"/>
  <c r="S444" i="5"/>
  <c r="S584" i="5"/>
  <c r="S396" i="5"/>
  <c r="S400" i="5"/>
  <c r="S405" i="5"/>
  <c r="S413" i="5"/>
  <c r="S453" i="5"/>
  <c r="S420" i="5"/>
  <c r="S448" i="5"/>
  <c r="S385" i="5"/>
  <c r="S393" i="5"/>
  <c r="S380" i="5"/>
  <c r="S425" i="5"/>
  <c r="S445" i="5"/>
  <c r="S424" i="5"/>
  <c r="S470" i="5"/>
  <c r="S461" i="5"/>
  <c r="S494" i="5"/>
  <c r="R2165" i="5"/>
  <c r="I1967" i="5"/>
  <c r="J2069" i="5"/>
  <c r="I2069" i="5"/>
  <c r="J1967" i="5"/>
  <c r="I987" i="5"/>
  <c r="H650" i="5"/>
  <c r="X290" i="5"/>
  <c r="X2044" i="5"/>
  <c r="R2044" i="5"/>
  <c r="R1967" i="5"/>
  <c r="H987" i="5"/>
  <c r="H1959" i="5"/>
  <c r="R987" i="5"/>
  <c r="R2069" i="5"/>
  <c r="I1959" i="5"/>
  <c r="X1272" i="5"/>
  <c r="H2069" i="5"/>
  <c r="J1959" i="5"/>
  <c r="R1959" i="5"/>
  <c r="I678" i="5"/>
  <c r="H678" i="5"/>
  <c r="J987" i="5"/>
  <c r="S606" i="5"/>
  <c r="S610" i="5"/>
  <c r="X520" i="5"/>
  <c r="X322" i="5"/>
  <c r="X347" i="5"/>
  <c r="X186" i="5"/>
  <c r="X456" i="5"/>
  <c r="S598" i="5"/>
  <c r="X376" i="5"/>
  <c r="X221" i="5"/>
  <c r="X165" i="5"/>
  <c r="X37" i="5"/>
  <c r="X504" i="5"/>
  <c r="X121" i="5"/>
  <c r="X323" i="5"/>
  <c r="X483" i="5"/>
  <c r="X488" i="5"/>
  <c r="X535" i="5"/>
  <c r="X21" i="5"/>
  <c r="X149" i="5"/>
  <c r="X122" i="5"/>
  <c r="S532" i="5"/>
  <c r="X336" i="5"/>
  <c r="S356" i="5"/>
  <c r="X318" i="5"/>
  <c r="X154" i="5"/>
  <c r="X20" i="5"/>
  <c r="X233" i="5"/>
  <c r="X70" i="5"/>
  <c r="X329" i="5"/>
  <c r="X98" i="5"/>
  <c r="X241" i="5"/>
  <c r="X301" i="5"/>
  <c r="X174" i="5"/>
  <c r="X34" i="5"/>
  <c r="S343" i="5"/>
  <c r="X158" i="5"/>
  <c r="X331" i="5"/>
  <c r="X333" i="5"/>
  <c r="X451" i="5"/>
  <c r="X78" i="5"/>
  <c r="X325" i="5"/>
  <c r="X138" i="5"/>
  <c r="X142" i="5"/>
  <c r="X126" i="5"/>
  <c r="X217" i="5"/>
  <c r="X218" i="5"/>
  <c r="X202" i="5"/>
  <c r="X46" i="5"/>
  <c r="X315" i="5"/>
  <c r="X96" i="5"/>
  <c r="X48" i="5"/>
  <c r="X327" i="5"/>
  <c r="X118" i="5"/>
  <c r="X311" i="5"/>
  <c r="X253" i="5"/>
  <c r="X317" i="5"/>
  <c r="X62" i="5"/>
  <c r="S357" i="5"/>
  <c r="S383" i="5"/>
  <c r="X313" i="5"/>
  <c r="X92" i="5"/>
  <c r="X76" i="5"/>
  <c r="X44" i="5"/>
  <c r="X319" i="5"/>
  <c r="X242" i="5"/>
  <c r="X285" i="5"/>
  <c r="X321" i="5"/>
  <c r="X249" i="5"/>
  <c r="X309" i="5"/>
  <c r="B32" i="6"/>
  <c r="J1919" i="5"/>
  <c r="R983" i="5"/>
  <c r="R872" i="5"/>
  <c r="I851" i="5"/>
  <c r="F1735" i="5"/>
  <c r="I1859" i="5"/>
  <c r="F1577" i="5"/>
  <c r="H1339" i="5"/>
  <c r="I1224" i="5"/>
  <c r="J775" i="5"/>
  <c r="F678" i="5"/>
  <c r="I1735" i="5"/>
  <c r="J2284" i="5"/>
  <c r="J1339" i="5"/>
  <c r="F967" i="5"/>
  <c r="J678" i="5"/>
  <c r="F2189" i="5"/>
  <c r="J1735" i="5"/>
  <c r="R1339" i="5"/>
  <c r="I967" i="5"/>
  <c r="I829" i="5"/>
  <c r="H752" i="5"/>
  <c r="H578" i="5"/>
  <c r="I1665" i="5"/>
  <c r="H1577" i="5"/>
  <c r="R967" i="5"/>
  <c r="R829" i="5"/>
  <c r="J752" i="5"/>
  <c r="I578"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F2301" i="5"/>
  <c r="R1593" i="5"/>
  <c r="J1385" i="5"/>
  <c r="X1320"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R746" i="5"/>
  <c r="F767" i="5"/>
  <c r="H746" i="5"/>
  <c r="H2325" i="5"/>
  <c r="R1329" i="5"/>
  <c r="H562" i="5"/>
  <c r="F463" i="5"/>
  <c r="R1204" i="5"/>
  <c r="H574" i="5"/>
  <c r="I562" i="5"/>
  <c r="F1665" i="5"/>
  <c r="J1204" i="5"/>
  <c r="I574" i="5"/>
  <c r="J562" i="5"/>
  <c r="J872" i="5"/>
  <c r="F562" i="5"/>
  <c r="H1665" i="5"/>
  <c r="J574" i="5"/>
  <c r="R2363" i="5"/>
  <c r="R2317" i="5"/>
  <c r="R2157" i="5"/>
  <c r="H1786" i="5"/>
  <c r="R799" i="5"/>
  <c r="H576" i="5"/>
  <c r="R2397" i="5"/>
  <c r="J2363" i="5"/>
  <c r="F696" i="5"/>
  <c r="I644" i="5"/>
  <c r="H403" i="5"/>
  <c r="H2397" i="5"/>
  <c r="J403" i="5"/>
  <c r="J1233" i="5"/>
  <c r="F717" i="5"/>
  <c r="R775" i="5"/>
  <c r="X799"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F1051" i="5"/>
  <c r="F672" i="5"/>
  <c r="R115" i="5"/>
  <c r="R1724" i="5"/>
  <c r="F1680" i="5"/>
  <c r="H1672"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X1668" i="5"/>
  <c r="R1086" i="5"/>
  <c r="I836" i="5"/>
  <c r="H596" i="5"/>
  <c r="R415" i="5"/>
  <c r="J447" i="5"/>
  <c r="J395" i="5"/>
  <c r="F2480" i="5"/>
  <c r="J2164" i="5"/>
  <c r="R1653" i="5"/>
  <c r="J1653" i="5"/>
  <c r="F1508" i="5"/>
  <c r="F1222" i="5"/>
  <c r="H1297" i="5"/>
  <c r="F836" i="5"/>
  <c r="R836" i="5"/>
  <c r="R395" i="5"/>
  <c r="I496" i="5"/>
  <c r="F1233" i="5"/>
  <c r="J1725" i="5"/>
  <c r="H1716" i="5"/>
  <c r="F1403" i="5"/>
  <c r="I1095" i="5"/>
  <c r="R808" i="5"/>
  <c r="J2133" i="5"/>
  <c r="J2161" i="5"/>
  <c r="I1716" i="5"/>
  <c r="H1426" i="5"/>
  <c r="H1329" i="5"/>
  <c r="I608" i="5"/>
  <c r="F808" i="5"/>
  <c r="R2133" i="5"/>
  <c r="R2161" i="5"/>
  <c r="F1919" i="5"/>
  <c r="J1716" i="5"/>
  <c r="R1067" i="5"/>
  <c r="X1308" i="5"/>
  <c r="J1145" i="5"/>
  <c r="H883" i="5"/>
  <c r="H447" i="5"/>
  <c r="I808" i="5"/>
  <c r="H1900" i="5"/>
  <c r="I1919" i="5"/>
  <c r="R1716" i="5"/>
  <c r="H1684" i="5"/>
  <c r="R1285" i="5"/>
  <c r="F1308" i="5"/>
  <c r="F883" i="5"/>
  <c r="I1403" i="5"/>
  <c r="H1919" i="5"/>
  <c r="I1684" i="5"/>
  <c r="I1123" i="5"/>
  <c r="I1067" i="5"/>
  <c r="I883" i="5"/>
  <c r="R883" i="5"/>
  <c r="F1900" i="5"/>
  <c r="R1919" i="5"/>
  <c r="R1725" i="5"/>
  <c r="R1684" i="5"/>
  <c r="J1308" i="5"/>
  <c r="J2181" i="5"/>
  <c r="H2164" i="5"/>
  <c r="R2184" i="5"/>
  <c r="J1668" i="5"/>
  <c r="R1660" i="5"/>
  <c r="H1652" i="5"/>
  <c r="I1644" i="5"/>
  <c r="H942" i="5"/>
  <c r="I720" i="5"/>
  <c r="R2181" i="5"/>
  <c r="I2164" i="5"/>
  <c r="X2012" i="5"/>
  <c r="R1668" i="5"/>
  <c r="F1708" i="5"/>
  <c r="X1660" i="5"/>
  <c r="I1652" i="5"/>
  <c r="J1644" i="5"/>
  <c r="X767" i="5"/>
  <c r="H391" i="5"/>
  <c r="J720" i="5"/>
  <c r="J2454" i="5"/>
  <c r="F2215" i="5"/>
  <c r="X2184" i="5"/>
  <c r="R2164" i="5"/>
  <c r="I2043" i="5"/>
  <c r="R1657" i="5"/>
  <c r="R1652" i="5"/>
  <c r="H1708" i="5"/>
  <c r="I942" i="5"/>
  <c r="H767" i="5"/>
  <c r="J680" i="5"/>
  <c r="H720" i="5"/>
  <c r="I680" i="5"/>
  <c r="X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116" i="5"/>
  <c r="I1855" i="5"/>
  <c r="H1774" i="5"/>
  <c r="H1811" i="5"/>
  <c r="R979" i="5"/>
  <c r="F852" i="5"/>
  <c r="F817" i="5"/>
  <c r="I580" i="5"/>
  <c r="R2116" i="5"/>
  <c r="H1855" i="5"/>
  <c r="I1811" i="5"/>
  <c r="F1774" i="5"/>
  <c r="J869" i="5"/>
  <c r="R580" i="5"/>
  <c r="F1842" i="5"/>
  <c r="J1855" i="5"/>
  <c r="J1811" i="5"/>
  <c r="H1140" i="5"/>
  <c r="R1292" i="5"/>
  <c r="I888" i="5"/>
  <c r="F738" i="5"/>
  <c r="H580" i="5"/>
  <c r="H1086" i="5"/>
  <c r="R869" i="5"/>
  <c r="J592" i="5"/>
  <c r="I2417" i="5"/>
  <c r="H1842" i="5"/>
  <c r="R1855" i="5"/>
  <c r="H1317" i="5"/>
  <c r="I979" i="5"/>
  <c r="F888" i="5"/>
  <c r="R730" i="5"/>
  <c r="F524" i="5"/>
  <c r="F1140" i="5"/>
  <c r="J580" i="5"/>
  <c r="I1842" i="5"/>
  <c r="R1811" i="5"/>
  <c r="F1471" i="5"/>
  <c r="R1317" i="5"/>
  <c r="I1086" i="5"/>
  <c r="I869" i="5"/>
  <c r="H730" i="5"/>
  <c r="H592" i="5"/>
  <c r="R411" i="5"/>
  <c r="H439" i="5"/>
  <c r="H411" i="5"/>
  <c r="I730" i="5"/>
  <c r="R87" i="5"/>
  <c r="J1842" i="5"/>
  <c r="H1696" i="5"/>
  <c r="J1086" i="5"/>
  <c r="I524" i="5"/>
  <c r="R439" i="5"/>
  <c r="B30" i="6"/>
  <c r="G30" i="6"/>
  <c r="B41" i="6"/>
  <c r="G41" i="6"/>
  <c r="B31" i="6"/>
  <c r="G31" i="6"/>
  <c r="J2417" i="5"/>
  <c r="J2160" i="5"/>
  <c r="F1876" i="5"/>
  <c r="R1770" i="5"/>
  <c r="R1700" i="5"/>
  <c r="I1696" i="5"/>
  <c r="I1672" i="5"/>
  <c r="F1126" i="5"/>
  <c r="F875" i="5"/>
  <c r="R888" i="5"/>
  <c r="F783" i="5"/>
  <c r="R757" i="5"/>
  <c r="I588" i="5"/>
  <c r="R431" i="5"/>
  <c r="J435" i="5"/>
  <c r="H2012" i="5"/>
  <c r="F640" i="5"/>
  <c r="F2197" i="5"/>
  <c r="R2417" i="5"/>
  <c r="H2409" i="5"/>
  <c r="H2011" i="5"/>
  <c r="J1876" i="5"/>
  <c r="J1669" i="5"/>
  <c r="J1696" i="5"/>
  <c r="F1700" i="5"/>
  <c r="F1712" i="5"/>
  <c r="J1672" i="5"/>
  <c r="R1003" i="5"/>
  <c r="X1352"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R194" i="5"/>
  <c r="R215" i="5"/>
  <c r="J2409" i="5"/>
  <c r="H2301" i="5"/>
  <c r="H2100" i="5"/>
  <c r="J2011" i="5"/>
  <c r="R1936" i="5"/>
  <c r="H1801" i="5"/>
  <c r="H1867" i="5"/>
  <c r="I1664" i="5"/>
  <c r="H1712" i="5"/>
  <c r="F1494" i="5"/>
  <c r="J1494" i="5"/>
  <c r="X1672" i="5"/>
  <c r="I1003" i="5"/>
  <c r="H1352" i="5"/>
  <c r="R974" i="5"/>
  <c r="I1074" i="5"/>
  <c r="I875" i="5"/>
  <c r="J783" i="5"/>
  <c r="J749" i="5"/>
  <c r="R334" i="5"/>
  <c r="I1801" i="5"/>
  <c r="J1664" i="5"/>
  <c r="I1712" i="5"/>
  <c r="J1352" i="5"/>
  <c r="I1292" i="5"/>
  <c r="R875" i="5"/>
  <c r="R738" i="5"/>
  <c r="I717" i="5"/>
  <c r="R718" i="5"/>
  <c r="F757" i="5"/>
  <c r="R207" i="5"/>
  <c r="F1190" i="5"/>
  <c r="I983" i="5"/>
  <c r="J1292" i="5"/>
  <c r="F749" i="5"/>
  <c r="J717" i="5"/>
  <c r="H640" i="5"/>
  <c r="H588" i="5"/>
  <c r="R435" i="5"/>
  <c r="H431" i="5"/>
  <c r="F2061" i="5"/>
  <c r="H556" i="5"/>
  <c r="H2197" i="5"/>
  <c r="F2405" i="5"/>
  <c r="F2386" i="5"/>
  <c r="R2289" i="5"/>
  <c r="R2160" i="5"/>
  <c r="I2100" i="5"/>
  <c r="R2035" i="5"/>
  <c r="I1867" i="5"/>
  <c r="X1304" i="5"/>
  <c r="I1145" i="5"/>
  <c r="J1074" i="5"/>
  <c r="R794" i="5"/>
  <c r="I634" i="5"/>
  <c r="H670" i="5"/>
  <c r="F1940" i="5"/>
  <c r="F2289" i="5"/>
  <c r="F2154" i="5"/>
  <c r="J2100" i="5"/>
  <c r="J1940" i="5"/>
  <c r="J1867" i="5"/>
  <c r="I1761" i="5"/>
  <c r="F1193" i="5"/>
  <c r="R1115" i="5"/>
  <c r="I1035" i="5"/>
  <c r="F1304" i="5"/>
  <c r="R1074" i="5"/>
  <c r="F814" i="5"/>
  <c r="J814" i="5"/>
  <c r="J1527" i="5"/>
  <c r="I1527" i="5"/>
  <c r="H1527" i="5"/>
  <c r="F592" i="5"/>
  <c r="R592" i="5"/>
  <c r="I2386" i="5"/>
  <c r="H2405" i="5"/>
  <c r="H2180" i="5"/>
  <c r="R2100" i="5"/>
  <c r="R1940" i="5"/>
  <c r="R1867" i="5"/>
  <c r="J1193" i="5"/>
  <c r="F1145" i="5"/>
  <c r="F867" i="5"/>
  <c r="H1940" i="5"/>
  <c r="J2405" i="5"/>
  <c r="I2180" i="5"/>
  <c r="I1786" i="5"/>
  <c r="J1471" i="5"/>
  <c r="I1131" i="5"/>
  <c r="I1115" i="5"/>
  <c r="I1304" i="5"/>
  <c r="R1145" i="5"/>
  <c r="H634" i="5"/>
  <c r="R423" i="5"/>
  <c r="I2289" i="5"/>
  <c r="J1435" i="5"/>
  <c r="I1435" i="5"/>
  <c r="H1435" i="5"/>
  <c r="R2405" i="5"/>
  <c r="H2386" i="5"/>
  <c r="J2180" i="5"/>
  <c r="J1952" i="5"/>
  <c r="J1786" i="5"/>
  <c r="J1304" i="5"/>
  <c r="J423" i="5"/>
  <c r="R303" i="5"/>
  <c r="H379" i="5"/>
  <c r="R71" i="5"/>
  <c r="F2381" i="5"/>
  <c r="J2386" i="5"/>
  <c r="R2180" i="5"/>
  <c r="H2160" i="5"/>
  <c r="F2100" i="5"/>
  <c r="R1952" i="5"/>
  <c r="H2035" i="5"/>
  <c r="F1867" i="5"/>
  <c r="R1786" i="5"/>
  <c r="R1131" i="5"/>
  <c r="R1304" i="5"/>
  <c r="I971" i="5"/>
  <c r="F1074" i="5"/>
  <c r="F971" i="5"/>
  <c r="I817" i="5"/>
  <c r="J379" i="5"/>
  <c r="R2386" i="5"/>
  <c r="I2160" i="5"/>
  <c r="X1952" i="5"/>
  <c r="I2035" i="5"/>
  <c r="I1471" i="5"/>
  <c r="R1471" i="5"/>
  <c r="R971" i="5"/>
  <c r="H1145" i="5"/>
  <c r="H971" i="5"/>
  <c r="J817" i="5"/>
  <c r="R817" i="5"/>
  <c r="R1055" i="5"/>
  <c r="I891" i="5"/>
  <c r="H867" i="5"/>
  <c r="R712" i="5"/>
  <c r="R427" i="5"/>
  <c r="R608" i="5"/>
  <c r="J712" i="5"/>
  <c r="J2465" i="5"/>
  <c r="F1696" i="5"/>
  <c r="I2205" i="5"/>
  <c r="R2205" i="5"/>
  <c r="J2205" i="5"/>
  <c r="H2205" i="5"/>
  <c r="F2205" i="5"/>
  <c r="R640" i="5"/>
  <c r="J1067" i="5"/>
  <c r="H1067" i="5"/>
  <c r="R672" i="5"/>
  <c r="H808" i="5"/>
  <c r="J808" i="5"/>
  <c r="X644" i="5"/>
  <c r="F644"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X915" i="5"/>
  <c r="I712" i="5"/>
  <c r="X679" i="5"/>
  <c r="H710" i="5"/>
  <c r="J407" i="5"/>
  <c r="H1526" i="5"/>
  <c r="R1526" i="5"/>
  <c r="F580" i="5"/>
  <c r="H836" i="5"/>
  <c r="J836" i="5"/>
  <c r="R1158" i="5"/>
  <c r="J1158" i="5"/>
  <c r="I1158" i="5"/>
  <c r="R931" i="5"/>
  <c r="R1138" i="5"/>
  <c r="I679" i="5"/>
  <c r="J427" i="5"/>
  <c r="F2265" i="5"/>
  <c r="I2199" i="5"/>
  <c r="R2199" i="5"/>
  <c r="J2199" i="5"/>
  <c r="H1051" i="5"/>
  <c r="R578" i="5"/>
  <c r="F578" i="5"/>
  <c r="R306" i="5"/>
  <c r="R243" i="5"/>
  <c r="J1761" i="5"/>
  <c r="I1510" i="5"/>
  <c r="X1464" i="5"/>
  <c r="F1138" i="5"/>
  <c r="F891" i="5"/>
  <c r="H2265" i="5"/>
  <c r="F974" i="5"/>
  <c r="I2397" i="5"/>
  <c r="F2397" i="5"/>
  <c r="I2253" i="5"/>
  <c r="R2253" i="5"/>
  <c r="J2253" i="5"/>
  <c r="H2253" i="5"/>
  <c r="I2257" i="5"/>
  <c r="J2257" i="5"/>
  <c r="J1403" i="5"/>
  <c r="H1403" i="5"/>
  <c r="R191" i="5"/>
  <c r="R103" i="5"/>
  <c r="R314" i="5"/>
  <c r="R330" i="5"/>
  <c r="J1510" i="5"/>
  <c r="H891" i="5"/>
  <c r="H915" i="5"/>
  <c r="J608" i="5"/>
  <c r="X712" i="5"/>
  <c r="I2189" i="5"/>
  <c r="H2189" i="5"/>
  <c r="I1851" i="5"/>
  <c r="F1851" i="5"/>
  <c r="I1633" i="5"/>
  <c r="F1633" i="5"/>
  <c r="R239" i="5"/>
  <c r="I391" i="5"/>
  <c r="F391" i="5"/>
  <c r="F915" i="5"/>
  <c r="H712" i="5"/>
  <c r="H427" i="5"/>
  <c r="I2213" i="5"/>
  <c r="R2213" i="5"/>
  <c r="J2213" i="5"/>
  <c r="H2213" i="5"/>
  <c r="F2213" i="5"/>
  <c r="J2381" i="5"/>
  <c r="I2381" i="5"/>
  <c r="J1309" i="5"/>
  <c r="I1309" i="5"/>
  <c r="J1325" i="5"/>
  <c r="F1325" i="5"/>
  <c r="R43" i="5"/>
  <c r="R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X632" i="5"/>
  <c r="R632" i="5"/>
  <c r="F632" i="5"/>
  <c r="J632" i="5"/>
  <c r="J829" i="5"/>
  <c r="H829" i="5"/>
  <c r="R814" i="5"/>
  <c r="I814" i="5"/>
  <c r="I443" i="5"/>
  <c r="F443" i="5"/>
  <c r="R163"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X1123" i="5"/>
  <c r="H1123" i="5"/>
  <c r="F1123" i="5"/>
  <c r="J1123" i="5"/>
  <c r="J943" i="5"/>
  <c r="H943" i="5"/>
  <c r="F943" i="5"/>
  <c r="J888" i="5"/>
  <c r="H888" i="5"/>
  <c r="H979" i="5"/>
  <c r="F979" i="5"/>
  <c r="J979" i="5"/>
  <c r="H774" i="5"/>
  <c r="F774" i="5"/>
  <c r="I774" i="5"/>
  <c r="J774" i="5"/>
  <c r="I710" i="5"/>
  <c r="F710" i="5"/>
  <c r="J576" i="5"/>
  <c r="F576" i="5"/>
  <c r="R576" i="5"/>
  <c r="I423" i="5"/>
  <c r="F423" i="5"/>
  <c r="F379" i="5"/>
  <c r="I379" i="5"/>
  <c r="H2417" i="5"/>
  <c r="F2417" i="5"/>
  <c r="I2173" i="5"/>
  <c r="F2173" i="5"/>
  <c r="I2284" i="5"/>
  <c r="R2284" i="5"/>
  <c r="H2284" i="5"/>
  <c r="F2284" i="5"/>
  <c r="F2180" i="5"/>
  <c r="X2180" i="5"/>
  <c r="R2237" i="5"/>
  <c r="J2237" i="5"/>
  <c r="H2237" i="5"/>
  <c r="F2237" i="5"/>
  <c r="H2133" i="5"/>
  <c r="F2133" i="5"/>
  <c r="I2133" i="5"/>
  <c r="I1952" i="5"/>
  <c r="H1952" i="5"/>
  <c r="F1952" i="5"/>
  <c r="F1761" i="5"/>
  <c r="H1761" i="5"/>
  <c r="J1253" i="5"/>
  <c r="I1253" i="5"/>
  <c r="F1253" i="5"/>
  <c r="I738" i="5"/>
  <c r="J738" i="5"/>
  <c r="J746" i="5"/>
  <c r="I746" i="5"/>
  <c r="X1003" i="5"/>
  <c r="J1003" i="5"/>
  <c r="H1003" i="5"/>
  <c r="F1003" i="5"/>
  <c r="R596" i="5"/>
  <c r="J596" i="5"/>
  <c r="F596" i="5"/>
  <c r="I365" i="5"/>
  <c r="H365" i="5"/>
  <c r="F365" i="5"/>
  <c r="R365" i="5"/>
  <c r="J365" i="5"/>
  <c r="R279" i="5"/>
  <c r="R717" i="5"/>
  <c r="H717" i="5"/>
  <c r="R251" i="5"/>
  <c r="R293" i="5"/>
  <c r="J334" i="5"/>
  <c r="H334" i="5"/>
  <c r="I2016" i="5"/>
  <c r="H2016" i="5"/>
  <c r="F2016" i="5"/>
  <c r="F1657" i="5"/>
  <c r="I1657" i="5"/>
  <c r="H1657" i="5"/>
  <c r="F1204" i="5"/>
  <c r="H1204" i="5"/>
  <c r="X1204" i="5"/>
  <c r="I1190" i="5"/>
  <c r="R1190" i="5"/>
  <c r="J1190" i="5"/>
  <c r="F1015" i="5"/>
  <c r="J1015" i="5"/>
  <c r="H1015" i="5"/>
  <c r="J883" i="5"/>
  <c r="H750" i="5"/>
  <c r="I750" i="5"/>
  <c r="J750" i="5"/>
  <c r="F750" i="5"/>
  <c r="J852" i="5"/>
  <c r="H852" i="5"/>
  <c r="H754" i="5"/>
  <c r="I754" i="5"/>
  <c r="J754" i="5"/>
  <c r="F754" i="5"/>
  <c r="X648" i="5"/>
  <c r="R648" i="5"/>
  <c r="F648" i="5"/>
  <c r="J648" i="5"/>
  <c r="I447" i="5"/>
  <c r="F447" i="5"/>
  <c r="I415" i="5"/>
  <c r="F415" i="5"/>
  <c r="I752" i="5"/>
  <c r="F752" i="5"/>
  <c r="R602" i="5"/>
  <c r="F602" i="5"/>
  <c r="R261" i="5"/>
  <c r="R600" i="5"/>
  <c r="J600" i="5"/>
  <c r="F600" i="5"/>
  <c r="R151" i="5"/>
  <c r="I2157" i="5"/>
  <c r="H2157" i="5"/>
  <c r="J2301" i="5"/>
  <c r="R2233" i="5"/>
  <c r="J2233" i="5"/>
  <c r="H2233" i="5"/>
  <c r="F2233" i="5"/>
  <c r="F1641" i="5"/>
  <c r="I1641" i="5"/>
  <c r="H1641" i="5"/>
  <c r="J1754" i="5"/>
  <c r="H1754" i="5"/>
  <c r="R1510" i="5"/>
  <c r="H1510" i="5"/>
  <c r="F1510" i="5"/>
  <c r="X1079" i="5"/>
  <c r="J1079" i="5"/>
  <c r="H1079" i="5"/>
  <c r="F1079" i="5"/>
  <c r="J1107" i="5"/>
  <c r="H1107" i="5"/>
  <c r="F1107" i="5"/>
  <c r="I662" i="5"/>
  <c r="F662" i="5"/>
  <c r="R662" i="5"/>
  <c r="J662" i="5"/>
  <c r="J634" i="5"/>
  <c r="R634" i="5"/>
  <c r="F634" i="5"/>
  <c r="X664" i="5"/>
  <c r="R664" i="5"/>
  <c r="I664" i="5"/>
  <c r="F664" i="5"/>
  <c r="I407" i="5"/>
  <c r="F407" i="5"/>
  <c r="R287" i="5"/>
  <c r="I435" i="5"/>
  <c r="F435" i="5"/>
  <c r="R211" i="5"/>
  <c r="I2232" i="5"/>
  <c r="H2232" i="5"/>
  <c r="X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X684" i="5"/>
  <c r="R749" i="5"/>
  <c r="H749" i="5"/>
  <c r="J588" i="5"/>
  <c r="F588" i="5"/>
  <c r="R588" i="5"/>
  <c r="J650" i="5"/>
  <c r="R650" i="5"/>
  <c r="F650" i="5"/>
  <c r="I670" i="5"/>
  <c r="R670" i="5"/>
  <c r="J670" i="5"/>
  <c r="F670" i="5"/>
  <c r="J472" i="5"/>
  <c r="H472" i="5"/>
  <c r="F472" i="5"/>
  <c r="R472" i="5"/>
  <c r="I439" i="5"/>
  <c r="F439" i="5"/>
  <c r="R305" i="5"/>
  <c r="H2357" i="5"/>
  <c r="F2357" i="5"/>
  <c r="R2357" i="5"/>
  <c r="J2357" i="5"/>
  <c r="I2357" i="5"/>
  <c r="F2164" i="5"/>
  <c r="X2164" i="5"/>
  <c r="I1725" i="5"/>
  <c r="H1725" i="5"/>
  <c r="F1725" i="5"/>
  <c r="I1430" i="5"/>
  <c r="H1430" i="5"/>
  <c r="F1430" i="5"/>
  <c r="R1430" i="5"/>
  <c r="I1693" i="5"/>
  <c r="H1693" i="5"/>
  <c r="F1693" i="5"/>
  <c r="J1329" i="5"/>
  <c r="I1329" i="5"/>
  <c r="F1329" i="5"/>
  <c r="X1095"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I431" i="5"/>
  <c r="F431" i="5"/>
  <c r="I427" i="5"/>
  <c r="F427" i="5"/>
  <c r="F26" i="6"/>
  <c r="X18" i="5"/>
  <c r="B52" i="6"/>
  <c r="G52" i="6"/>
  <c r="B37" i="6"/>
  <c r="G37" i="6"/>
  <c r="B42" i="6"/>
  <c r="G42" i="6"/>
  <c r="B40" i="6"/>
  <c r="G40" i="6"/>
  <c r="B50" i="6"/>
  <c r="G50" i="6"/>
  <c r="B25" i="6"/>
  <c r="G25" i="6"/>
  <c r="B35" i="6"/>
  <c r="G35" i="6"/>
  <c r="X6" i="5"/>
  <c r="B39" i="6"/>
  <c r="G39" i="6"/>
  <c r="F24" i="6"/>
  <c r="B44" i="6"/>
  <c r="G44" i="6"/>
  <c r="G32" i="6"/>
  <c r="B49" i="6"/>
  <c r="G49" i="6"/>
  <c r="B34" i="6"/>
  <c r="G34" i="6"/>
  <c r="B29" i="6"/>
  <c r="G29" i="6"/>
  <c r="B24" i="6"/>
  <c r="G24" i="6"/>
  <c r="G19" i="6"/>
  <c r="H19" i="6"/>
  <c r="F2426" i="5"/>
  <c r="R2426" i="5"/>
  <c r="J2426" i="5"/>
  <c r="I2426" i="5"/>
  <c r="H2426" i="5"/>
  <c r="D5" i="6"/>
  <c r="F2446" i="5"/>
  <c r="H2446" i="5"/>
  <c r="J2446" i="5"/>
  <c r="I2446" i="5"/>
  <c r="R2446" i="5"/>
  <c r="G22" i="6"/>
  <c r="B47" i="6"/>
  <c r="G47" i="6"/>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X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J1394" i="5"/>
  <c r="R1604" i="5"/>
  <c r="J1604" i="5"/>
  <c r="I1604" i="5"/>
  <c r="H1604" i="5"/>
  <c r="F1604" i="5"/>
  <c r="X1604" i="5"/>
  <c r="R1687" i="5"/>
  <c r="J1687" i="5"/>
  <c r="I1687" i="5"/>
  <c r="H1687" i="5"/>
  <c r="F1687" i="5"/>
  <c r="R1392" i="5"/>
  <c r="J1392" i="5"/>
  <c r="F1392" i="5"/>
  <c r="X1392" i="5"/>
  <c r="I1392" i="5"/>
  <c r="H1392" i="5"/>
  <c r="R1584" i="5"/>
  <c r="J1584" i="5"/>
  <c r="I1584" i="5"/>
  <c r="H1584" i="5"/>
  <c r="F1584" i="5"/>
  <c r="X1584" i="5"/>
  <c r="J1445" i="5"/>
  <c r="H1445" i="5"/>
  <c r="I1445" i="5"/>
  <c r="F1445" i="5"/>
  <c r="R1445" i="5"/>
  <c r="R1592" i="5"/>
  <c r="J1592" i="5"/>
  <c r="I1592" i="5"/>
  <c r="H1592" i="5"/>
  <c r="F1592" i="5"/>
  <c r="X1592" i="5"/>
  <c r="R1517" i="5"/>
  <c r="J1517" i="5"/>
  <c r="H1517" i="5"/>
  <c r="I1517" i="5"/>
  <c r="F1517" i="5"/>
  <c r="J1244" i="5"/>
  <c r="I1244" i="5"/>
  <c r="R1244" i="5"/>
  <c r="H1244" i="5"/>
  <c r="F1244" i="5"/>
  <c r="J1477" i="5"/>
  <c r="H1477" i="5"/>
  <c r="I1477" i="5"/>
  <c r="F1477" i="5"/>
  <c r="R1477" i="5"/>
  <c r="I1335" i="5"/>
  <c r="H1335" i="5"/>
  <c r="R1335" i="5"/>
  <c r="J1335" i="5"/>
  <c r="F1335" i="5"/>
  <c r="X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R1238" i="5"/>
  <c r="J1238" i="5"/>
  <c r="H1238" i="5"/>
  <c r="I1238" i="5"/>
  <c r="H988" i="5"/>
  <c r="F988" i="5"/>
  <c r="X988" i="5"/>
  <c r="R988" i="5"/>
  <c r="J988" i="5"/>
  <c r="I988" i="5"/>
  <c r="H1116" i="5"/>
  <c r="F1116" i="5"/>
  <c r="R1116" i="5"/>
  <c r="J1116" i="5"/>
  <c r="I1116" i="5"/>
  <c r="H1052" i="5"/>
  <c r="F1052" i="5"/>
  <c r="X1052" i="5"/>
  <c r="R1052" i="5"/>
  <c r="J1052" i="5"/>
  <c r="I1052" i="5"/>
  <c r="X93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R324" i="5"/>
  <c r="R300" i="5"/>
  <c r="R292" i="5"/>
  <c r="R284" i="5"/>
  <c r="R276" i="5"/>
  <c r="R268" i="5"/>
  <c r="R260" i="5"/>
  <c r="R252" i="5"/>
  <c r="R236" i="5"/>
  <c r="R228" i="5"/>
  <c r="R132" i="5"/>
  <c r="R402" i="5"/>
  <c r="J402" i="5"/>
  <c r="I402" i="5"/>
  <c r="H402" i="5"/>
  <c r="F402" i="5"/>
  <c r="R116" i="5"/>
  <c r="B46" i="6"/>
  <c r="G46" i="6"/>
  <c r="B26" i="6"/>
  <c r="G26" i="6"/>
  <c r="G21" i="6"/>
  <c r="H21" i="6"/>
  <c r="B36" i="6"/>
  <c r="G36" i="6"/>
  <c r="G20" i="6"/>
  <c r="H20" i="6"/>
  <c r="B45" i="6"/>
  <c r="G45" i="6"/>
  <c r="D17" i="6"/>
  <c r="H2439" i="5"/>
  <c r="F2439" i="5"/>
  <c r="R2439" i="5"/>
  <c r="J2439" i="5"/>
  <c r="I2439" i="5"/>
  <c r="F2414" i="5"/>
  <c r="R2414" i="5"/>
  <c r="J2414" i="5"/>
  <c r="I2414" i="5"/>
  <c r="H2414" i="5"/>
  <c r="J2448" i="5"/>
  <c r="F2448" i="5"/>
  <c r="X2448" i="5"/>
  <c r="I2448" i="5"/>
  <c r="H2448" i="5"/>
  <c r="R2448" i="5"/>
  <c r="B27" i="6"/>
  <c r="G27" i="6"/>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J2135" i="5"/>
  <c r="H2266" i="5"/>
  <c r="F2266" i="5"/>
  <c r="R2266" i="5"/>
  <c r="J2266" i="5"/>
  <c r="I2266" i="5"/>
  <c r="F2222" i="5"/>
  <c r="R2222" i="5"/>
  <c r="J2222" i="5"/>
  <c r="I2222" i="5"/>
  <c r="H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X2055" i="5"/>
  <c r="R2055" i="5"/>
  <c r="J2055" i="5"/>
  <c r="I2139" i="5"/>
  <c r="H2139" i="5"/>
  <c r="F2139" i="5"/>
  <c r="R2139" i="5"/>
  <c r="J2139" i="5"/>
  <c r="X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X1880"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X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X1572" i="5"/>
  <c r="R1360" i="5"/>
  <c r="J1360" i="5"/>
  <c r="H1360" i="5"/>
  <c r="F1360" i="5"/>
  <c r="I1360" i="5"/>
  <c r="F1399" i="5"/>
  <c r="R1399" i="5"/>
  <c r="J1399" i="5"/>
  <c r="I1399" i="5"/>
  <c r="H1399" i="5"/>
  <c r="I1528" i="5"/>
  <c r="H1528" i="5"/>
  <c r="F1528" i="5"/>
  <c r="X1528" i="5"/>
  <c r="R1528" i="5"/>
  <c r="J1528" i="5"/>
  <c r="H1134" i="5"/>
  <c r="F1134" i="5"/>
  <c r="R1134" i="5"/>
  <c r="I1134" i="5"/>
  <c r="J1134" i="5"/>
  <c r="J1627" i="5"/>
  <c r="I1627" i="5"/>
  <c r="H1627" i="5"/>
  <c r="F1627" i="5"/>
  <c r="R1627" i="5"/>
  <c r="R1560" i="5"/>
  <c r="J1560" i="5"/>
  <c r="I1560" i="5"/>
  <c r="H1560" i="5"/>
  <c r="F1560" i="5"/>
  <c r="H1207" i="5"/>
  <c r="R1207" i="5"/>
  <c r="J1207" i="5"/>
  <c r="I1207" i="5"/>
  <c r="F1207" i="5"/>
  <c r="X1207" i="5"/>
  <c r="H1108" i="5"/>
  <c r="F1108" i="5"/>
  <c r="R1108" i="5"/>
  <c r="I1108" i="5"/>
  <c r="J1108" i="5"/>
  <c r="H1044" i="5"/>
  <c r="F1044" i="5"/>
  <c r="X1044" i="5"/>
  <c r="R1044" i="5"/>
  <c r="I1044" i="5"/>
  <c r="J1044" i="5"/>
  <c r="F1398" i="5"/>
  <c r="R1398" i="5"/>
  <c r="J1398" i="5"/>
  <c r="I1398" i="5"/>
  <c r="H1398" i="5"/>
  <c r="R1368" i="5"/>
  <c r="J1368" i="5"/>
  <c r="H1368" i="5"/>
  <c r="F1368" i="5"/>
  <c r="X1368" i="5"/>
  <c r="I1368" i="5"/>
  <c r="I1323" i="5"/>
  <c r="H1323" i="5"/>
  <c r="R1323" i="5"/>
  <c r="J1323" i="5"/>
  <c r="F1323" i="5"/>
  <c r="X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R1033" i="5"/>
  <c r="F1033" i="5"/>
  <c r="J1081" i="5"/>
  <c r="I1081" i="5"/>
  <c r="H1081" i="5"/>
  <c r="R1081" i="5"/>
  <c r="F1081" i="5"/>
  <c r="X912" i="5"/>
  <c r="R912" i="5"/>
  <c r="J912" i="5"/>
  <c r="I912" i="5"/>
  <c r="F912" i="5"/>
  <c r="H912" i="5"/>
  <c r="R858" i="5"/>
  <c r="I858" i="5"/>
  <c r="H858" i="5"/>
  <c r="J858" i="5"/>
  <c r="F858" i="5"/>
  <c r="J823" i="5"/>
  <c r="I823" i="5"/>
  <c r="F823" i="5"/>
  <c r="R823" i="5"/>
  <c r="H823" i="5"/>
  <c r="X868" i="5"/>
  <c r="R868" i="5"/>
  <c r="I868" i="5"/>
  <c r="F868" i="5"/>
  <c r="J868" i="5"/>
  <c r="H868" i="5"/>
  <c r="R907" i="5"/>
  <c r="I907" i="5"/>
  <c r="J907" i="5"/>
  <c r="H907" i="5"/>
  <c r="F907" i="5"/>
  <c r="J695" i="5"/>
  <c r="I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R184" i="5"/>
  <c r="R328" i="5"/>
  <c r="R220" i="5"/>
  <c r="R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X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H1235" i="5"/>
  <c r="F1235" i="5"/>
  <c r="R1235" i="5"/>
  <c r="J1235" i="5"/>
  <c r="I1235" i="5"/>
  <c r="H1171" i="5"/>
  <c r="F1171" i="5"/>
  <c r="X1171" i="5"/>
  <c r="R1171" i="5"/>
  <c r="J1171" i="5"/>
  <c r="I1171" i="5"/>
  <c r="R1501" i="5"/>
  <c r="J1501" i="5"/>
  <c r="H1501" i="5"/>
  <c r="I1501" i="5"/>
  <c r="F1501" i="5"/>
  <c r="F1386" i="5"/>
  <c r="R1386" i="5"/>
  <c r="J1386" i="5"/>
  <c r="I1386" i="5"/>
  <c r="H1386" i="5"/>
  <c r="R1596" i="5"/>
  <c r="J1596" i="5"/>
  <c r="I1596" i="5"/>
  <c r="H1596" i="5"/>
  <c r="F1596" i="5"/>
  <c r="X1596" i="5"/>
  <c r="F1174" i="5"/>
  <c r="R1174" i="5"/>
  <c r="J1174" i="5"/>
  <c r="H1174" i="5"/>
  <c r="I1174" i="5"/>
  <c r="H1092" i="5"/>
  <c r="F1092" i="5"/>
  <c r="X1092" i="5"/>
  <c r="R1092" i="5"/>
  <c r="I1092" i="5"/>
  <c r="J1092" i="5"/>
  <c r="H1028" i="5"/>
  <c r="F1028" i="5"/>
  <c r="R1028" i="5"/>
  <c r="J1028" i="5"/>
  <c r="I1028" i="5"/>
  <c r="F1407" i="5"/>
  <c r="R1407" i="5"/>
  <c r="J1407" i="5"/>
  <c r="I1407" i="5"/>
  <c r="X1407" i="5"/>
  <c r="H1407" i="5"/>
  <c r="I1331" i="5"/>
  <c r="H1331" i="5"/>
  <c r="R1331" i="5"/>
  <c r="J1331" i="5"/>
  <c r="F1331" i="5"/>
  <c r="I1299" i="5"/>
  <c r="H1299" i="5"/>
  <c r="R1299" i="5"/>
  <c r="J1299" i="5"/>
  <c r="F1299" i="5"/>
  <c r="I1267" i="5"/>
  <c r="H1267" i="5"/>
  <c r="R1267" i="5"/>
  <c r="J1267" i="5"/>
  <c r="F1267" i="5"/>
  <c r="X1267" i="5"/>
  <c r="F1202" i="5"/>
  <c r="J1202" i="5"/>
  <c r="I1202" i="5"/>
  <c r="H1202" i="5"/>
  <c r="R1202" i="5"/>
  <c r="H1128" i="5"/>
  <c r="F1128" i="5"/>
  <c r="X1128" i="5"/>
  <c r="R1128" i="5"/>
  <c r="J1128" i="5"/>
  <c r="I1128" i="5"/>
  <c r="H1096" i="5"/>
  <c r="F1096" i="5"/>
  <c r="R1096" i="5"/>
  <c r="J1096" i="5"/>
  <c r="I1096" i="5"/>
  <c r="H1064" i="5"/>
  <c r="F1064" i="5"/>
  <c r="X1064" i="5"/>
  <c r="R1064" i="5"/>
  <c r="J1064" i="5"/>
  <c r="I1064" i="5"/>
  <c r="R1588" i="5"/>
  <c r="J1588" i="5"/>
  <c r="I1588" i="5"/>
  <c r="H1588" i="5"/>
  <c r="F1588" i="5"/>
  <c r="R1384" i="5"/>
  <c r="J1384" i="5"/>
  <c r="H1384" i="5"/>
  <c r="F1384" i="5"/>
  <c r="X1384" i="5"/>
  <c r="I1384" i="5"/>
  <c r="R927" i="5"/>
  <c r="I927" i="5"/>
  <c r="H927" i="5"/>
  <c r="F927" i="5"/>
  <c r="J927" i="5"/>
  <c r="H1195" i="5"/>
  <c r="J1195" i="5"/>
  <c r="I1195" i="5"/>
  <c r="F1195" i="5"/>
  <c r="X1195" i="5"/>
  <c r="R1195" i="5"/>
  <c r="F972" i="5"/>
  <c r="X972" i="5"/>
  <c r="R972" i="5"/>
  <c r="J972" i="5"/>
  <c r="I972" i="5"/>
  <c r="H972" i="5"/>
  <c r="R930" i="5"/>
  <c r="I930" i="5"/>
  <c r="J930" i="5"/>
  <c r="H930" i="5"/>
  <c r="F930" i="5"/>
  <c r="J985" i="5"/>
  <c r="I985" i="5"/>
  <c r="H985" i="5"/>
  <c r="R985" i="5"/>
  <c r="F985" i="5"/>
  <c r="F837" i="5"/>
  <c r="R837" i="5"/>
  <c r="I837" i="5"/>
  <c r="J837" i="5"/>
  <c r="H837" i="5"/>
  <c r="I657" i="5"/>
  <c r="H657" i="5"/>
  <c r="F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X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F964" i="5"/>
  <c r="R964" i="5"/>
  <c r="I964" i="5"/>
  <c r="H964" i="5"/>
  <c r="J964" i="5"/>
  <c r="F960" i="5"/>
  <c r="R960" i="5"/>
  <c r="H960" i="5"/>
  <c r="J960" i="5"/>
  <c r="I960" i="5"/>
  <c r="X884"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R216" i="5"/>
  <c r="R120" i="5"/>
  <c r="R192" i="5"/>
  <c r="F67" i="6"/>
  <c r="F31" i="6"/>
  <c r="F46" i="6"/>
  <c r="F41" i="6"/>
  <c r="H41" i="6"/>
  <c r="D41" i="6"/>
  <c r="F36" i="6"/>
  <c r="H36" i="6"/>
  <c r="D36" i="6"/>
  <c r="F51" i="6"/>
  <c r="H51" i="6"/>
  <c r="D51" i="6"/>
  <c r="J2479" i="5"/>
  <c r="I2479" i="5"/>
  <c r="R2479" i="5"/>
  <c r="H2479" i="5"/>
  <c r="F2479" i="5"/>
  <c r="F45" i="6"/>
  <c r="H45" i="6"/>
  <c r="D45" i="6"/>
  <c r="F66" i="6"/>
  <c r="F50" i="6"/>
  <c r="H50" i="6"/>
  <c r="D50" i="6"/>
  <c r="F30" i="6"/>
  <c r="H25" i="6"/>
  <c r="F35" i="6"/>
  <c r="F40" i="6"/>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X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X1744" i="5"/>
  <c r="R1744" i="5"/>
  <c r="J1744" i="5"/>
  <c r="H1744" i="5"/>
  <c r="F1744" i="5"/>
  <c r="R1651" i="5"/>
  <c r="J1651" i="5"/>
  <c r="I1651" i="5"/>
  <c r="H1651" i="5"/>
  <c r="F1651" i="5"/>
  <c r="X1651" i="5"/>
  <c r="J1409" i="5"/>
  <c r="I1409" i="5"/>
  <c r="R1409" i="5"/>
  <c r="H1409" i="5"/>
  <c r="F1409" i="5"/>
  <c r="J1421" i="5"/>
  <c r="I1421" i="5"/>
  <c r="H1421" i="5"/>
  <c r="R1421" i="5"/>
  <c r="F1421" i="5"/>
  <c r="J1405" i="5"/>
  <c r="I1405" i="5"/>
  <c r="H1405" i="5"/>
  <c r="R1405" i="5"/>
  <c r="F1405" i="5"/>
  <c r="I1599" i="5"/>
  <c r="H1599" i="5"/>
  <c r="F1599" i="5"/>
  <c r="R1599" i="5"/>
  <c r="J1599" i="5"/>
  <c r="X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H1211" i="5"/>
  <c r="R1211" i="5"/>
  <c r="I1211" i="5"/>
  <c r="X1211" i="5"/>
  <c r="F1211" i="5"/>
  <c r="J1211" i="5"/>
  <c r="H1179" i="5"/>
  <c r="R1179" i="5"/>
  <c r="I1179" i="5"/>
  <c r="J1179" i="5"/>
  <c r="F1179" i="5"/>
  <c r="X1179" i="5"/>
  <c r="R1608" i="5"/>
  <c r="J1608" i="5"/>
  <c r="I1608" i="5"/>
  <c r="H1608" i="5"/>
  <c r="F1608" i="5"/>
  <c r="X1608" i="5"/>
  <c r="R1521" i="5"/>
  <c r="J1521" i="5"/>
  <c r="H1521" i="5"/>
  <c r="F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I1255" i="5"/>
  <c r="H1255" i="5"/>
  <c r="R1255" i="5"/>
  <c r="J1255" i="5"/>
  <c r="F1255" i="5"/>
  <c r="X1255" i="5"/>
  <c r="R1647" i="5"/>
  <c r="J1647" i="5"/>
  <c r="I1647" i="5"/>
  <c r="H1647" i="5"/>
  <c r="F1647" i="5"/>
  <c r="F1194" i="5"/>
  <c r="R1194" i="5"/>
  <c r="J1194" i="5"/>
  <c r="I1194" i="5"/>
  <c r="H1194" i="5"/>
  <c r="F1226" i="5"/>
  <c r="R1226" i="5"/>
  <c r="J1226" i="5"/>
  <c r="I1226" i="5"/>
  <c r="H1226" i="5"/>
  <c r="H1088" i="5"/>
  <c r="F1088" i="5"/>
  <c r="X1088" i="5"/>
  <c r="R1088" i="5"/>
  <c r="I1088" i="5"/>
  <c r="J1088" i="5"/>
  <c r="H1024" i="5"/>
  <c r="F1024" i="5"/>
  <c r="R1024" i="5"/>
  <c r="J1024" i="5"/>
  <c r="I1024" i="5"/>
  <c r="F1206" i="5"/>
  <c r="R1206" i="5"/>
  <c r="J1206" i="5"/>
  <c r="H1206" i="5"/>
  <c r="I1206" i="5"/>
  <c r="H1084" i="5"/>
  <c r="F1084" i="5"/>
  <c r="X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X859"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R296" i="5"/>
  <c r="R288" i="5"/>
  <c r="R280" i="5"/>
  <c r="R272" i="5"/>
  <c r="R256" i="5"/>
  <c r="R248" i="5"/>
  <c r="R240" i="5"/>
  <c r="R232" i="5"/>
  <c r="R382" i="5"/>
  <c r="I382" i="5"/>
  <c r="H382" i="5"/>
  <c r="F382" i="5"/>
  <c r="J382" i="5"/>
  <c r="R359" i="5"/>
  <c r="J359" i="5"/>
  <c r="H359" i="5"/>
  <c r="F359" i="5"/>
  <c r="I359" i="5"/>
  <c r="R196" i="5"/>
  <c r="R208" i="5"/>
  <c r="R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X1904" i="5"/>
  <c r="J1904" i="5"/>
  <c r="R1904" i="5"/>
  <c r="I1904" i="5"/>
  <c r="H1904" i="5"/>
  <c r="F1904" i="5"/>
  <c r="H1779" i="5"/>
  <c r="F1779" i="5"/>
  <c r="X1779" i="5"/>
  <c r="R1779" i="5"/>
  <c r="J1779" i="5"/>
  <c r="I1779" i="5"/>
  <c r="I1821" i="5"/>
  <c r="J1821" i="5"/>
  <c r="H1821" i="5"/>
  <c r="F1821" i="5"/>
  <c r="R1821" i="5"/>
  <c r="I1910" i="5"/>
  <c r="H1910" i="5"/>
  <c r="F1910" i="5"/>
  <c r="R1910" i="5"/>
  <c r="J1910" i="5"/>
  <c r="J1804" i="5"/>
  <c r="I1804" i="5"/>
  <c r="H1804" i="5"/>
  <c r="F1804" i="5"/>
  <c r="X1804" i="5"/>
  <c r="R1804" i="5"/>
  <c r="J1800" i="5"/>
  <c r="I1800" i="5"/>
  <c r="H1800" i="5"/>
  <c r="F1800" i="5"/>
  <c r="R1800" i="5"/>
  <c r="J1792" i="5"/>
  <c r="I1792" i="5"/>
  <c r="H1792" i="5"/>
  <c r="F1792" i="5"/>
  <c r="X1792" i="5"/>
  <c r="R1792" i="5"/>
  <c r="J1784" i="5"/>
  <c r="I1784" i="5"/>
  <c r="H1784" i="5"/>
  <c r="F1784" i="5"/>
  <c r="R1784" i="5"/>
  <c r="J1776" i="5"/>
  <c r="I1776" i="5"/>
  <c r="H1776" i="5"/>
  <c r="F1776" i="5"/>
  <c r="X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X1772" i="5"/>
  <c r="R1772" i="5"/>
  <c r="I1603" i="5"/>
  <c r="H1603" i="5"/>
  <c r="F1603" i="5"/>
  <c r="R1603" i="5"/>
  <c r="J1603" i="5"/>
  <c r="I1536" i="5"/>
  <c r="H1536" i="5"/>
  <c r="F1536" i="5"/>
  <c r="X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X1080" i="5"/>
  <c r="R1080" i="5"/>
  <c r="J1080" i="5"/>
  <c r="I1080" i="5"/>
  <c r="H1048" i="5"/>
  <c r="F1048" i="5"/>
  <c r="R1048" i="5"/>
  <c r="J1048" i="5"/>
  <c r="I1048" i="5"/>
  <c r="H1032" i="5"/>
  <c r="F1032" i="5"/>
  <c r="X1032" i="5"/>
  <c r="R1032" i="5"/>
  <c r="J1032" i="5"/>
  <c r="I1032" i="5"/>
  <c r="R1489" i="5"/>
  <c r="J1489" i="5"/>
  <c r="H1489" i="5"/>
  <c r="F1489" i="5"/>
  <c r="I1489" i="5"/>
  <c r="X916" i="5"/>
  <c r="R916" i="5"/>
  <c r="I916" i="5"/>
  <c r="F916" i="5"/>
  <c r="J916" i="5"/>
  <c r="H916" i="5"/>
  <c r="F956" i="5"/>
  <c r="X956" i="5"/>
  <c r="R956" i="5"/>
  <c r="I956" i="5"/>
  <c r="J956" i="5"/>
  <c r="H956" i="5"/>
  <c r="X871"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R124" i="5"/>
  <c r="H2463" i="5"/>
  <c r="I2463" i="5"/>
  <c r="F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R2300" i="5"/>
  <c r="R2168" i="5"/>
  <c r="J2168" i="5"/>
  <c r="I2168" i="5"/>
  <c r="H2168" i="5"/>
  <c r="X2168" i="5"/>
  <c r="F2168" i="5"/>
  <c r="F2074" i="5"/>
  <c r="R2074" i="5"/>
  <c r="J2074" i="5"/>
  <c r="I2074" i="5"/>
  <c r="H2074" i="5"/>
  <c r="R2060" i="5"/>
  <c r="J2060" i="5"/>
  <c r="H2060" i="5"/>
  <c r="F2060" i="5"/>
  <c r="X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X1591" i="5"/>
  <c r="I1559" i="5"/>
  <c r="H1559" i="5"/>
  <c r="F1559" i="5"/>
  <c r="R1559" i="5"/>
  <c r="J1559" i="5"/>
  <c r="R1348" i="5"/>
  <c r="F1348" i="5"/>
  <c r="X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K68" i="6"/>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X2411" i="5"/>
  <c r="R2411" i="5"/>
  <c r="J2411" i="5"/>
  <c r="J2332" i="5"/>
  <c r="I2332" i="5"/>
  <c r="H2332" i="5"/>
  <c r="F2332" i="5"/>
  <c r="R2332" i="5"/>
  <c r="X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X2304" i="5"/>
  <c r="F2304" i="5"/>
  <c r="H2234" i="5"/>
  <c r="F2234" i="5"/>
  <c r="R2234" i="5"/>
  <c r="J2234" i="5"/>
  <c r="I2234" i="5"/>
  <c r="H2242" i="5"/>
  <c r="F2242" i="5"/>
  <c r="R2242" i="5"/>
  <c r="J2242" i="5"/>
  <c r="I2242" i="5"/>
  <c r="R2140" i="5"/>
  <c r="J2140" i="5"/>
  <c r="I2140" i="5"/>
  <c r="H2140" i="5"/>
  <c r="X2140" i="5"/>
  <c r="F2140" i="5"/>
  <c r="J2124" i="5"/>
  <c r="I2124" i="5"/>
  <c r="H2124" i="5"/>
  <c r="X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X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X1832"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X1440" i="5"/>
  <c r="I1440" i="5"/>
  <c r="J1440" i="5"/>
  <c r="R1440" i="5"/>
  <c r="R1505" i="5"/>
  <c r="J1505" i="5"/>
  <c r="H1505" i="5"/>
  <c r="F1505" i="5"/>
  <c r="I1505" i="5"/>
  <c r="I1343" i="5"/>
  <c r="F1343" i="5"/>
  <c r="R1343" i="5"/>
  <c r="J1343" i="5"/>
  <c r="H1343" i="5"/>
  <c r="H1223" i="5"/>
  <c r="J1223" i="5"/>
  <c r="R1223" i="5"/>
  <c r="I1223" i="5"/>
  <c r="F1223" i="5"/>
  <c r="R1616" i="5"/>
  <c r="J1616" i="5"/>
  <c r="I1616" i="5"/>
  <c r="H1616" i="5"/>
  <c r="F1616" i="5"/>
  <c r="H1247" i="5"/>
  <c r="I1247" i="5"/>
  <c r="F1247" i="5"/>
  <c r="X1247" i="5"/>
  <c r="R1247" i="5"/>
  <c r="J1247" i="5"/>
  <c r="H1460" i="5"/>
  <c r="F1460" i="5"/>
  <c r="X1460" i="5"/>
  <c r="J1460" i="5"/>
  <c r="I1460" i="5"/>
  <c r="R1460" i="5"/>
  <c r="R1750" i="5"/>
  <c r="I1750" i="5"/>
  <c r="J1750" i="5"/>
  <c r="H1750" i="5"/>
  <c r="F1750" i="5"/>
  <c r="H1251" i="5"/>
  <c r="R1251" i="5"/>
  <c r="J1251" i="5"/>
  <c r="I1251" i="5"/>
  <c r="F1251" i="5"/>
  <c r="R1568" i="5"/>
  <c r="J1568" i="5"/>
  <c r="I1568" i="5"/>
  <c r="H1568" i="5"/>
  <c r="F1568" i="5"/>
  <c r="H1060" i="5"/>
  <c r="F1060" i="5"/>
  <c r="X1060" i="5"/>
  <c r="R1060" i="5"/>
  <c r="I1060" i="5"/>
  <c r="J1060" i="5"/>
  <c r="I1315" i="5"/>
  <c r="H1315" i="5"/>
  <c r="R1315" i="5"/>
  <c r="J1315" i="5"/>
  <c r="F1315" i="5"/>
  <c r="I1283" i="5"/>
  <c r="H1283" i="5"/>
  <c r="R1283" i="5"/>
  <c r="J1283" i="5"/>
  <c r="F1283" i="5"/>
  <c r="X1283" i="5"/>
  <c r="I1484" i="5"/>
  <c r="H1484" i="5"/>
  <c r="F1484" i="5"/>
  <c r="X1484" i="5"/>
  <c r="J1484" i="5"/>
  <c r="R1484" i="5"/>
  <c r="J1180" i="5"/>
  <c r="I1180" i="5"/>
  <c r="R1180" i="5"/>
  <c r="H1180" i="5"/>
  <c r="F1180" i="5"/>
  <c r="H996" i="5"/>
  <c r="F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R892" i="5"/>
  <c r="I892" i="5"/>
  <c r="H892" i="5"/>
  <c r="F892" i="5"/>
  <c r="J892" i="5"/>
  <c r="R847" i="5"/>
  <c r="J847" i="5"/>
  <c r="I847" i="5"/>
  <c r="X847" i="5"/>
  <c r="H847" i="5"/>
  <c r="F847" i="5"/>
  <c r="R839" i="5"/>
  <c r="J839" i="5"/>
  <c r="I839" i="5"/>
  <c r="X839" i="5"/>
  <c r="H839" i="5"/>
  <c r="F839" i="5"/>
  <c r="F845" i="5"/>
  <c r="R845" i="5"/>
  <c r="I845" i="5"/>
  <c r="J845" i="5"/>
  <c r="H845" i="5"/>
  <c r="R970" i="5"/>
  <c r="J970" i="5"/>
  <c r="I970" i="5"/>
  <c r="H970" i="5"/>
  <c r="F970" i="5"/>
  <c r="J811" i="5"/>
  <c r="R811" i="5"/>
  <c r="I811" i="5"/>
  <c r="H811" i="5"/>
  <c r="F811" i="5"/>
  <c r="X811" i="5"/>
  <c r="R918" i="5"/>
  <c r="I918" i="5"/>
  <c r="J918" i="5"/>
  <c r="H918" i="5"/>
  <c r="F918" i="5"/>
  <c r="J1097" i="5"/>
  <c r="I1097" i="5"/>
  <c r="H1097" i="5"/>
  <c r="R1097" i="5"/>
  <c r="F1097" i="5"/>
  <c r="F833" i="5"/>
  <c r="R833" i="5"/>
  <c r="I833" i="5"/>
  <c r="J833" i="5"/>
  <c r="H833" i="5"/>
  <c r="I673" i="5"/>
  <c r="H673" i="5"/>
  <c r="F673" i="5"/>
  <c r="R673" i="5"/>
  <c r="J673" i="5"/>
  <c r="I641" i="5"/>
  <c r="H641" i="5"/>
  <c r="F641" i="5"/>
  <c r="R641" i="5"/>
  <c r="J641" i="5"/>
  <c r="I609" i="5"/>
  <c r="H609" i="5"/>
  <c r="F609" i="5"/>
  <c r="R609" i="5"/>
  <c r="J609" i="5"/>
  <c r="X671" i="5"/>
  <c r="R671" i="5"/>
  <c r="J671" i="5"/>
  <c r="I671" i="5"/>
  <c r="H671" i="5"/>
  <c r="F671" i="5"/>
  <c r="R663" i="5"/>
  <c r="J663" i="5"/>
  <c r="I663" i="5"/>
  <c r="H663" i="5"/>
  <c r="F663" i="5"/>
  <c r="X655" i="5"/>
  <c r="R655" i="5"/>
  <c r="J655" i="5"/>
  <c r="I655" i="5"/>
  <c r="H655" i="5"/>
  <c r="F655"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R316" i="5"/>
  <c r="R172" i="5"/>
  <c r="R160" i="5"/>
  <c r="R180" i="5"/>
  <c r="R200" i="5"/>
  <c r="R156" i="5"/>
  <c r="R308" i="5"/>
  <c r="R100" i="5"/>
  <c r="R312" i="5"/>
  <c r="R188" i="5"/>
  <c r="K67" i="6"/>
  <c r="D16" i="6"/>
  <c r="R2432" i="5"/>
  <c r="J2432" i="5"/>
  <c r="I2432" i="5"/>
  <c r="H2432" i="5"/>
  <c r="F2432" i="5"/>
  <c r="I2423" i="5"/>
  <c r="H2423" i="5"/>
  <c r="F2423" i="5"/>
  <c r="R2423" i="5"/>
  <c r="J2423" i="5"/>
  <c r="J2216" i="5"/>
  <c r="R2216" i="5"/>
  <c r="I2216" i="5"/>
  <c r="H2216" i="5"/>
  <c r="F2216" i="5"/>
  <c r="I2159" i="5"/>
  <c r="H2159" i="5"/>
  <c r="F2159" i="5"/>
  <c r="J2159" i="5"/>
  <c r="X2159" i="5"/>
  <c r="R2159" i="5"/>
  <c r="I2143" i="5"/>
  <c r="H2143" i="5"/>
  <c r="F2143" i="5"/>
  <c r="R2143" i="5"/>
  <c r="J2143" i="5"/>
  <c r="X1955" i="5"/>
  <c r="R1955" i="5"/>
  <c r="J1955" i="5"/>
  <c r="I1955" i="5"/>
  <c r="H1955" i="5"/>
  <c r="F1955" i="5"/>
  <c r="R1951" i="5"/>
  <c r="J1951" i="5"/>
  <c r="I1951" i="5"/>
  <c r="H1951" i="5"/>
  <c r="F1951" i="5"/>
  <c r="X1951" i="5"/>
  <c r="F1809" i="5"/>
  <c r="R1809" i="5"/>
  <c r="J1809" i="5"/>
  <c r="I1809" i="5"/>
  <c r="H1809" i="5"/>
  <c r="H1807" i="5"/>
  <c r="F1807" i="5"/>
  <c r="X1807" i="5"/>
  <c r="R1807" i="5"/>
  <c r="J1807" i="5"/>
  <c r="I1807" i="5"/>
  <c r="I1736" i="5"/>
  <c r="R1736" i="5"/>
  <c r="J1736" i="5"/>
  <c r="H1736" i="5"/>
  <c r="F1736" i="5"/>
  <c r="X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X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X1036" i="5"/>
  <c r="R1036" i="5"/>
  <c r="J1036" i="5"/>
  <c r="I1036" i="5"/>
  <c r="H1167" i="5"/>
  <c r="R1167" i="5"/>
  <c r="J1167" i="5"/>
  <c r="F1167" i="5"/>
  <c r="I1167" i="5"/>
  <c r="X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R148" i="5"/>
  <c r="D15" i="6"/>
  <c r="K66" i="6"/>
  <c r="H2471" i="5"/>
  <c r="I2471" i="5"/>
  <c r="F2471" i="5"/>
  <c r="X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X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X2120" i="5"/>
  <c r="I2095" i="5"/>
  <c r="H2095" i="5"/>
  <c r="F2095" i="5"/>
  <c r="R2095" i="5"/>
  <c r="J2095" i="5"/>
  <c r="I2175" i="5"/>
  <c r="H2175" i="5"/>
  <c r="F2175" i="5"/>
  <c r="R2175" i="5"/>
  <c r="J2175" i="5"/>
  <c r="X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X1791" i="5"/>
  <c r="R1791" i="5"/>
  <c r="J1791" i="5"/>
  <c r="I1791" i="5"/>
  <c r="I1814" i="5"/>
  <c r="H1814" i="5"/>
  <c r="F1814" i="5"/>
  <c r="J1814" i="5"/>
  <c r="R1814" i="5"/>
  <c r="R1982" i="5"/>
  <c r="J1982" i="5"/>
  <c r="I1982" i="5"/>
  <c r="H1982" i="5"/>
  <c r="F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X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X1575" i="5"/>
  <c r="F1358" i="5"/>
  <c r="R1358" i="5"/>
  <c r="J1358" i="5"/>
  <c r="H1358" i="5"/>
  <c r="I1358" i="5"/>
  <c r="R1340" i="5"/>
  <c r="F1340" i="5"/>
  <c r="X1340" i="5"/>
  <c r="H1340" i="5"/>
  <c r="J1340" i="5"/>
  <c r="I1340" i="5"/>
  <c r="I1500" i="5"/>
  <c r="H1500" i="5"/>
  <c r="F1500" i="5"/>
  <c r="X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X1388" i="5"/>
  <c r="I1311" i="5"/>
  <c r="H1311" i="5"/>
  <c r="R1311" i="5"/>
  <c r="J1311" i="5"/>
  <c r="F1311" i="5"/>
  <c r="I1279" i="5"/>
  <c r="H1279" i="5"/>
  <c r="R1279" i="5"/>
  <c r="J1279" i="5"/>
  <c r="F1279" i="5"/>
  <c r="H984" i="5"/>
  <c r="F984" i="5"/>
  <c r="X984" i="5"/>
  <c r="R984" i="5"/>
  <c r="J984" i="5"/>
  <c r="I984" i="5"/>
  <c r="R1600" i="5"/>
  <c r="J1600" i="5"/>
  <c r="I1600" i="5"/>
  <c r="H1600" i="5"/>
  <c r="F1600" i="5"/>
  <c r="X1600" i="5"/>
  <c r="F1170" i="5"/>
  <c r="J1170" i="5"/>
  <c r="I1170" i="5"/>
  <c r="H1170" i="5"/>
  <c r="R1170" i="5"/>
  <c r="H1104" i="5"/>
  <c r="F1104" i="5"/>
  <c r="X1104" i="5"/>
  <c r="R1104" i="5"/>
  <c r="I1104" i="5"/>
  <c r="J1104" i="5"/>
  <c r="H1040" i="5"/>
  <c r="F1040" i="5"/>
  <c r="X1040" i="5"/>
  <c r="R1040" i="5"/>
  <c r="I1040" i="5"/>
  <c r="J1040" i="5"/>
  <c r="F1258" i="5"/>
  <c r="R1258" i="5"/>
  <c r="J1258" i="5"/>
  <c r="I1258" i="5"/>
  <c r="H1258" i="5"/>
  <c r="H1068" i="5"/>
  <c r="F1068" i="5"/>
  <c r="R1068" i="5"/>
  <c r="J1068" i="5"/>
  <c r="I1068" i="5"/>
  <c r="J1005" i="5"/>
  <c r="I1005" i="5"/>
  <c r="H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J898" i="5"/>
  <c r="X903"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R164" i="5"/>
  <c r="R339" i="5"/>
  <c r="H339" i="5"/>
  <c r="F339" i="5"/>
  <c r="J339" i="5"/>
  <c r="I339" i="5"/>
  <c r="R152" i="5"/>
  <c r="R212" i="5"/>
  <c r="F44" i="6"/>
  <c r="H44" i="6"/>
  <c r="D44" i="6"/>
  <c r="F34" i="6"/>
  <c r="F39" i="6"/>
  <c r="F54" i="6"/>
  <c r="F65" i="6"/>
  <c r="F49" i="6"/>
  <c r="F29" i="6"/>
  <c r="H29" i="6"/>
  <c r="F2430" i="5"/>
  <c r="R2430" i="5"/>
  <c r="J2430" i="5"/>
  <c r="I2430" i="5"/>
  <c r="H2430" i="5"/>
  <c r="D6" i="6"/>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X2352" i="5"/>
  <c r="H2352" i="5"/>
  <c r="H2377" i="5"/>
  <c r="F2377" i="5"/>
  <c r="J2377" i="5"/>
  <c r="I2377" i="5"/>
  <c r="R2377" i="5"/>
  <c r="H2361" i="5"/>
  <c r="F2361" i="5"/>
  <c r="J2361" i="5"/>
  <c r="I2361" i="5"/>
  <c r="R2361" i="5"/>
  <c r="R2275" i="5"/>
  <c r="J2275" i="5"/>
  <c r="H2275" i="5"/>
  <c r="I2275" i="5"/>
  <c r="F2275" i="5"/>
  <c r="J2384" i="5"/>
  <c r="I2384" i="5"/>
  <c r="R2384" i="5"/>
  <c r="H2384" i="5"/>
  <c r="F2384" i="5"/>
  <c r="X2384" i="5"/>
  <c r="H2230" i="5"/>
  <c r="F2230" i="5"/>
  <c r="R2230" i="5"/>
  <c r="J2230" i="5"/>
  <c r="I2230" i="5"/>
  <c r="J2231" i="5"/>
  <c r="I2231" i="5"/>
  <c r="H2231" i="5"/>
  <c r="F2231" i="5"/>
  <c r="R2231" i="5"/>
  <c r="J2183" i="5"/>
  <c r="I2183" i="5"/>
  <c r="H2183" i="5"/>
  <c r="F2183" i="5"/>
  <c r="X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X2144" i="5"/>
  <c r="I2107" i="5"/>
  <c r="H2107" i="5"/>
  <c r="F2107" i="5"/>
  <c r="R2107" i="5"/>
  <c r="J2107" i="5"/>
  <c r="R2068" i="5"/>
  <c r="J2068" i="5"/>
  <c r="H2068" i="5"/>
  <c r="F2068" i="5"/>
  <c r="I2068" i="5"/>
  <c r="I2049" i="5"/>
  <c r="H2049" i="5"/>
  <c r="F2049" i="5"/>
  <c r="R2049" i="5"/>
  <c r="J2049" i="5"/>
  <c r="R1962" i="5"/>
  <c r="J1962" i="5"/>
  <c r="I1962" i="5"/>
  <c r="H1962" i="5"/>
  <c r="F1962" i="5"/>
  <c r="F1856" i="5"/>
  <c r="X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X1896" i="5"/>
  <c r="J1896" i="5"/>
  <c r="R1896" i="5"/>
  <c r="I1896" i="5"/>
  <c r="H1896" i="5"/>
  <c r="F1896" i="5"/>
  <c r="R1743" i="5"/>
  <c r="J1743" i="5"/>
  <c r="I1743" i="5"/>
  <c r="F1743" i="5"/>
  <c r="H1743" i="5"/>
  <c r="I1740" i="5"/>
  <c r="X1740" i="5"/>
  <c r="F1740" i="5"/>
  <c r="R1740" i="5"/>
  <c r="H1740" i="5"/>
  <c r="J1740" i="5"/>
  <c r="I1730" i="5"/>
  <c r="H1730" i="5"/>
  <c r="F1730" i="5"/>
  <c r="R1730" i="5"/>
  <c r="J1730" i="5"/>
  <c r="I1714" i="5"/>
  <c r="H1714" i="5"/>
  <c r="F1714" i="5"/>
  <c r="R1714" i="5"/>
  <c r="J1714" i="5"/>
  <c r="I1698" i="5"/>
  <c r="H1698" i="5"/>
  <c r="F1698" i="5"/>
  <c r="R1698" i="5"/>
  <c r="J1698" i="5"/>
  <c r="I1682" i="5"/>
  <c r="H1682" i="5"/>
  <c r="F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X1643" i="5"/>
  <c r="H1767" i="5"/>
  <c r="F1767" i="5"/>
  <c r="R1767" i="5"/>
  <c r="J1767" i="5"/>
  <c r="I1767" i="5"/>
  <c r="R1695" i="5"/>
  <c r="J1695" i="5"/>
  <c r="I1695" i="5"/>
  <c r="H1695" i="5"/>
  <c r="F1695" i="5"/>
  <c r="R1631" i="5"/>
  <c r="J1631" i="5"/>
  <c r="I1631" i="5"/>
  <c r="H1631" i="5"/>
  <c r="F1631" i="5"/>
  <c r="J1760" i="5"/>
  <c r="I1760" i="5"/>
  <c r="H1760" i="5"/>
  <c r="X1760" i="5"/>
  <c r="R1760" i="5"/>
  <c r="F1760" i="5"/>
  <c r="R1683" i="5"/>
  <c r="J1683" i="5"/>
  <c r="I1683" i="5"/>
  <c r="H1683" i="5"/>
  <c r="F1683" i="5"/>
  <c r="I1540" i="5"/>
  <c r="H1540" i="5"/>
  <c r="F1540" i="5"/>
  <c r="X1540" i="5"/>
  <c r="R1540" i="5"/>
  <c r="J1540" i="5"/>
  <c r="J1433" i="5"/>
  <c r="I1433" i="5"/>
  <c r="H1433" i="5"/>
  <c r="R1433" i="5"/>
  <c r="F1433" i="5"/>
  <c r="J1425" i="5"/>
  <c r="I1425" i="5"/>
  <c r="H1425" i="5"/>
  <c r="R1425" i="5"/>
  <c r="F1425" i="5"/>
  <c r="I1595" i="5"/>
  <c r="H1595" i="5"/>
  <c r="F1595" i="5"/>
  <c r="R1595" i="5"/>
  <c r="J1595" i="5"/>
  <c r="I1563" i="5"/>
  <c r="H1563" i="5"/>
  <c r="F1563" i="5"/>
  <c r="R1563" i="5"/>
  <c r="J1563" i="5"/>
  <c r="H1472" i="5"/>
  <c r="F1472" i="5"/>
  <c r="X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X1576" i="5"/>
  <c r="H1428" i="5"/>
  <c r="R1428" i="5"/>
  <c r="F1428" i="5"/>
  <c r="J1428" i="5"/>
  <c r="I1428" i="5"/>
  <c r="H1159" i="5"/>
  <c r="J1159" i="5"/>
  <c r="R1159" i="5"/>
  <c r="I1159" i="5"/>
  <c r="F1159"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R1076" i="5"/>
  <c r="I1076" i="5"/>
  <c r="J1076" i="5"/>
  <c r="I1307" i="5"/>
  <c r="H1307" i="5"/>
  <c r="R1307" i="5"/>
  <c r="J1307" i="5"/>
  <c r="F1307" i="5"/>
  <c r="I1275" i="5"/>
  <c r="H1275" i="5"/>
  <c r="R1275" i="5"/>
  <c r="J1275" i="5"/>
  <c r="F1275" i="5"/>
  <c r="J1457" i="5"/>
  <c r="H1457" i="5"/>
  <c r="F1457" i="5"/>
  <c r="R1457" i="5"/>
  <c r="I1457" i="5"/>
  <c r="H1000" i="5"/>
  <c r="F1000" i="5"/>
  <c r="X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R108" i="5"/>
  <c r="R128" i="5"/>
  <c r="R136" i="5"/>
  <c r="R320" i="5"/>
  <c r="R112" i="5"/>
  <c r="S566" i="5"/>
  <c r="S412" i="5"/>
  <c r="S363" i="5"/>
  <c r="S542" i="5"/>
  <c r="S360" i="5"/>
  <c r="S482" i="5"/>
  <c r="S546" i="5"/>
  <c r="S353" i="5"/>
  <c r="S563" i="5"/>
  <c r="S459" i="5"/>
  <c r="S373" i="5"/>
  <c r="S499" i="5"/>
  <c r="S455" i="5"/>
  <c r="S495" i="5"/>
  <c r="S508" i="5"/>
  <c r="S384" i="5"/>
  <c r="S523" i="5"/>
  <c r="S535" i="5"/>
  <c r="S476" i="5"/>
  <c r="S336" i="5"/>
  <c r="S371" i="5"/>
  <c r="S351" i="5"/>
  <c r="S492" i="5"/>
  <c r="S456" i="5"/>
  <c r="S376" i="5"/>
  <c r="S504" i="5"/>
  <c r="S483" i="5"/>
  <c r="S488" i="5"/>
  <c r="S590" i="5"/>
  <c r="S368" i="5"/>
  <c r="S530" i="5"/>
  <c r="S480" i="5"/>
  <c r="S531" i="5"/>
  <c r="S399" i="5"/>
  <c r="S345" i="5"/>
  <c r="S528" i="5"/>
  <c r="S516" i="5"/>
  <c r="S594" i="5"/>
  <c r="S507" i="5"/>
  <c r="S451" i="5"/>
  <c r="S335" i="5"/>
  <c r="S582" i="5"/>
  <c r="S500" i="5"/>
  <c r="S347" i="5"/>
  <c r="S512" i="5"/>
  <c r="S503" i="5"/>
  <c r="S478" i="5"/>
  <c r="S514" i="5"/>
  <c r="S558" i="5"/>
  <c r="S387" i="5"/>
  <c r="S559" i="5"/>
  <c r="S487" i="5"/>
  <c r="S551" i="5"/>
  <c r="S519" i="5"/>
  <c r="S547" i="5"/>
  <c r="S544" i="5"/>
  <c r="S526" i="5"/>
  <c r="S379" i="5"/>
  <c r="S540" i="5"/>
  <c r="S520" i="5"/>
  <c r="S550" i="5"/>
  <c r="S338" i="5"/>
  <c r="S536" i="5"/>
  <c r="S498" i="5"/>
  <c r="S484" i="5"/>
  <c r="S471" i="5"/>
  <c r="S515" i="5"/>
  <c r="S337" i="5"/>
  <c r="S555" i="5"/>
  <c r="S570" i="5"/>
  <c r="S527" i="5"/>
  <c r="S369" i="5"/>
  <c r="S381" i="5"/>
  <c r="S597" i="5"/>
  <c r="X599" i="5"/>
  <c r="S599" i="5"/>
  <c r="X140" i="5"/>
  <c r="X611" i="5"/>
  <c r="S611" i="5"/>
  <c r="X220" i="5"/>
  <c r="S601" i="5"/>
  <c r="X340" i="5"/>
  <c r="X467" i="5"/>
  <c r="X427" i="5"/>
  <c r="X472" i="5"/>
  <c r="X287" i="5"/>
  <c r="X407" i="5"/>
  <c r="X152" i="5"/>
  <c r="X180" i="5"/>
  <c r="X375" i="5"/>
  <c r="X232" i="5"/>
  <c r="X264" i="5"/>
  <c r="X296" i="5"/>
  <c r="X192" i="5"/>
  <c r="X176" i="5"/>
  <c r="X244" i="5"/>
  <c r="X276" i="5"/>
  <c r="X567" i="5"/>
  <c r="X151" i="5"/>
  <c r="X596" i="5"/>
  <c r="X91" i="5"/>
  <c r="X281" i="5"/>
  <c r="X496" i="5"/>
  <c r="X103" i="5"/>
  <c r="X320" i="5"/>
  <c r="X212" i="5"/>
  <c r="X339" i="5"/>
  <c r="X188" i="5"/>
  <c r="X359" i="5"/>
  <c r="X328" i="5"/>
  <c r="X591" i="5"/>
  <c r="X204" i="5"/>
  <c r="X595" i="5"/>
  <c r="X411" i="5"/>
  <c r="X439" i="5"/>
  <c r="X600" i="5"/>
  <c r="S600" i="5"/>
  <c r="X447" i="5"/>
  <c r="X251" i="5"/>
  <c r="X423" i="5"/>
  <c r="X191" i="5"/>
  <c r="X243" i="5"/>
  <c r="X403" i="5"/>
  <c r="X108" i="5"/>
  <c r="X112" i="5"/>
  <c r="X168" i="5"/>
  <c r="X164" i="5"/>
  <c r="X308" i="5"/>
  <c r="X200" i="5"/>
  <c r="X316" i="5"/>
  <c r="X144" i="5"/>
  <c r="X208" i="5"/>
  <c r="S382" i="5"/>
  <c r="X224" i="5"/>
  <c r="X256" i="5"/>
  <c r="X288" i="5"/>
  <c r="X367" i="5"/>
  <c r="X475" i="5"/>
  <c r="X116" i="5"/>
  <c r="X236" i="5"/>
  <c r="X268" i="5"/>
  <c r="X300" i="5"/>
  <c r="X431" i="5"/>
  <c r="X305" i="5"/>
  <c r="X277" i="5"/>
  <c r="X297" i="5"/>
  <c r="X207" i="5"/>
  <c r="X194" i="5"/>
  <c r="X592" i="5"/>
  <c r="X395" i="5"/>
  <c r="X115" i="5"/>
  <c r="S533" i="5"/>
  <c r="X148" i="5"/>
  <c r="X575" i="5"/>
  <c r="X216" i="5"/>
  <c r="X355" i="5"/>
  <c r="S355" i="5"/>
  <c r="X330" i="5"/>
  <c r="X391" i="5"/>
  <c r="S602" i="5"/>
  <c r="X262" i="5"/>
  <c r="X587" i="5"/>
  <c r="X312" i="5"/>
  <c r="X156" i="5"/>
  <c r="X124" i="5"/>
  <c r="X603" i="5"/>
  <c r="S603" i="5"/>
  <c r="X248" i="5"/>
  <c r="X280" i="5"/>
  <c r="X184" i="5"/>
  <c r="X104" i="5"/>
  <c r="X228" i="5"/>
  <c r="X260" i="5"/>
  <c r="X292" i="5"/>
  <c r="S605" i="5"/>
  <c r="X279" i="5"/>
  <c r="X163" i="5"/>
  <c r="X443" i="5"/>
  <c r="X102" i="5"/>
  <c r="X189" i="5"/>
  <c r="X128" i="5"/>
  <c r="X571" i="5"/>
  <c r="X172" i="5"/>
  <c r="X607" i="5"/>
  <c r="S607" i="5"/>
  <c r="X579" i="5"/>
  <c r="X132" i="5"/>
  <c r="X324" i="5"/>
  <c r="X303" i="5"/>
  <c r="X211" i="5"/>
  <c r="X435" i="5"/>
  <c r="X576" i="5"/>
  <c r="X43" i="5"/>
  <c r="X215" i="5"/>
  <c r="X580" i="5"/>
  <c r="X201" i="5"/>
  <c r="X87" i="5"/>
  <c r="X314" i="5"/>
  <c r="X463" i="5"/>
  <c r="X136" i="5"/>
  <c r="X160" i="5"/>
  <c r="X460" i="5"/>
  <c r="X196" i="5"/>
  <c r="X240" i="5"/>
  <c r="X272" i="5"/>
  <c r="X120" i="5"/>
  <c r="X252" i="5"/>
  <c r="X284" i="5"/>
  <c r="X583" i="5"/>
  <c r="X419" i="5"/>
  <c r="X261" i="5"/>
  <c r="X415" i="5"/>
  <c r="X293" i="5"/>
  <c r="X239" i="5"/>
  <c r="X608" i="5"/>
  <c r="X71" i="5"/>
  <c r="X265" i="5"/>
  <c r="H39" i="6"/>
  <c r="D39" i="6"/>
  <c r="H26" i="6"/>
  <c r="H24" i="6"/>
  <c r="H35" i="6"/>
  <c r="D35" i="6"/>
  <c r="H40" i="6"/>
  <c r="D40" i="6"/>
  <c r="H46" i="6"/>
  <c r="D46" i="6"/>
  <c r="H31" i="6"/>
  <c r="D29" i="6"/>
  <c r="H30" i="6"/>
  <c r="AB12" i="5"/>
  <c r="AB9" i="5"/>
  <c r="AB10" i="5"/>
  <c r="AB14" i="5"/>
  <c r="AB17" i="5"/>
  <c r="AB16" i="5"/>
  <c r="AB8" i="5"/>
  <c r="AB13" i="5"/>
  <c r="AB15" i="5"/>
  <c r="AB11" i="5"/>
  <c r="AB7" i="5"/>
  <c r="H49" i="6"/>
  <c r="D49" i="6"/>
  <c r="H34" i="6"/>
  <c r="H32" i="6"/>
  <c r="D19" i="6"/>
  <c r="K65" i="6"/>
  <c r="D24" i="6"/>
  <c r="X100" i="5"/>
  <c r="D27" i="6"/>
  <c r="D20" i="6"/>
  <c r="C2" i="6"/>
  <c r="B2" i="6"/>
  <c r="F57" i="6"/>
  <c r="H57" i="6"/>
  <c r="H54" i="6"/>
  <c r="F62" i="6"/>
  <c r="H62" i="6"/>
  <c r="F58" i="6"/>
  <c r="H58" i="6"/>
  <c r="F60" i="6"/>
  <c r="H60" i="6"/>
  <c r="F63" i="6"/>
  <c r="H63" i="6"/>
  <c r="F59" i="6"/>
  <c r="H59" i="6"/>
  <c r="F55" i="6"/>
  <c r="D25" i="6"/>
  <c r="D26" i="6"/>
  <c r="D21" i="6"/>
  <c r="D22" i="6"/>
  <c r="H47" i="6"/>
  <c r="D47" i="6"/>
  <c r="S430" i="5"/>
  <c r="S443" i="5"/>
  <c r="S419" i="5"/>
  <c r="S589" i="5"/>
  <c r="S521" i="5"/>
  <c r="S472" i="5"/>
  <c r="S596" i="5"/>
  <c r="S496" i="5"/>
  <c r="S366" i="5"/>
  <c r="S591" i="5"/>
  <c r="S439" i="5"/>
  <c r="S365" i="5"/>
  <c r="S403" i="5"/>
  <c r="S569" i="5"/>
  <c r="S553" i="5"/>
  <c r="S525" i="5"/>
  <c r="S469" i="5"/>
  <c r="S562" i="5"/>
  <c r="S394" i="5"/>
  <c r="S342" i="5"/>
  <c r="S463" i="5"/>
  <c r="S477" i="5"/>
  <c r="S571" i="5"/>
  <c r="S579" i="5"/>
  <c r="S473" i="5"/>
  <c r="S576" i="5"/>
  <c r="S608" i="5"/>
  <c r="S354" i="5"/>
  <c r="S465" i="5"/>
  <c r="S493" i="5"/>
  <c r="S398" i="5"/>
  <c r="S402" i="5"/>
  <c r="S467" i="5"/>
  <c r="S375" i="5"/>
  <c r="S362" i="5"/>
  <c r="S378" i="5"/>
  <c r="S339" i="5"/>
  <c r="S370" i="5"/>
  <c r="S517" i="5"/>
  <c r="S423" i="5"/>
  <c r="S475" i="5"/>
  <c r="S529" i="5"/>
  <c r="S334" i="5"/>
  <c r="S458" i="5"/>
  <c r="S386" i="5"/>
  <c r="S534" i="5"/>
  <c r="S587" i="5"/>
  <c r="S554" i="5"/>
  <c r="S509" i="5"/>
  <c r="S522" i="5"/>
  <c r="S565" i="5"/>
  <c r="S447" i="5"/>
  <c r="S481" i="5"/>
  <c r="S367" i="5"/>
  <c r="S592" i="5"/>
  <c r="S438" i="5"/>
  <c r="S545" i="5"/>
  <c r="S391" i="5"/>
  <c r="S450" i="5"/>
  <c r="S442" i="5"/>
  <c r="S415" i="5"/>
  <c r="S435" i="5"/>
  <c r="S414" i="5"/>
  <c r="S462" i="5"/>
  <c r="S502" i="5"/>
  <c r="S538" i="5"/>
  <c r="S340" i="5"/>
  <c r="S486" i="5"/>
  <c r="S407" i="5"/>
  <c r="S410" i="5"/>
  <c r="S567" i="5"/>
  <c r="S578" i="5"/>
  <c r="S454" i="5"/>
  <c r="S595" i="5"/>
  <c r="S490" i="5"/>
  <c r="S431" i="5"/>
  <c r="S513" i="5"/>
  <c r="S350" i="5"/>
  <c r="S358" i="5"/>
  <c r="S418" i="5"/>
  <c r="S557" i="5"/>
  <c r="S556" i="5"/>
  <c r="S549" i="5"/>
  <c r="S581" i="5"/>
  <c r="S580" i="5"/>
  <c r="S411" i="5"/>
  <c r="S446" i="5"/>
  <c r="S537" i="5"/>
  <c r="S485" i="5"/>
  <c r="S541" i="5"/>
  <c r="S573" i="5"/>
  <c r="S374" i="5"/>
  <c r="S426" i="5"/>
  <c r="S501" i="5"/>
  <c r="S460" i="5"/>
  <c r="S561" i="5"/>
  <c r="S422" i="5"/>
  <c r="S574" i="5"/>
  <c r="S505" i="5"/>
  <c r="S346" i="5"/>
  <c r="S577" i="5"/>
  <c r="S466" i="5"/>
  <c r="S427" i="5"/>
  <c r="S518" i="5"/>
  <c r="S524" i="5"/>
  <c r="S406" i="5"/>
  <c r="S359" i="5"/>
  <c r="S506" i="5"/>
  <c r="S390" i="5"/>
  <c r="S395" i="5"/>
  <c r="S609" i="5"/>
  <c r="S575" i="5"/>
  <c r="S497" i="5"/>
  <c r="S434" i="5"/>
  <c r="S474" i="5"/>
  <c r="S585" i="5"/>
  <c r="S583" i="5"/>
  <c r="S588" i="5"/>
  <c r="S489" i="5"/>
  <c r="S593" i="5"/>
  <c r="D34" i="6"/>
  <c r="D31" i="6"/>
  <c r="D30" i="6"/>
  <c r="D32" i="6"/>
  <c r="R16" i="5"/>
  <c r="R10" i="5"/>
  <c r="R13" i="5"/>
  <c r="R7" i="5"/>
  <c r="R17" i="5"/>
  <c r="R12" i="5"/>
  <c r="R9" i="5"/>
  <c r="R8" i="5"/>
  <c r="R15" i="5"/>
  <c r="R11" i="5"/>
  <c r="R14" i="5"/>
  <c r="D60" i="6"/>
  <c r="D58" i="6"/>
  <c r="D63" i="6"/>
  <c r="D62" i="6"/>
  <c r="D54" i="6"/>
  <c r="D57" i="6"/>
  <c r="F56" i="6"/>
  <c r="H56" i="6"/>
  <c r="H55" i="6"/>
  <c r="D59" i="6"/>
  <c r="X13" i="5"/>
  <c r="X9" i="5"/>
  <c r="X12" i="5"/>
  <c r="X17" i="5"/>
  <c r="X11" i="5"/>
  <c r="X15" i="5"/>
  <c r="X8" i="5"/>
  <c r="X7" i="5"/>
  <c r="X16" i="5"/>
  <c r="D55" i="6"/>
  <c r="D56" i="6"/>
  <c r="S74" i="5"/>
  <c r="S69" i="5"/>
  <c r="S290" i="5"/>
  <c r="S100" i="5"/>
  <c r="S168" i="5"/>
  <c r="S280" i="5"/>
  <c r="S39" i="5"/>
  <c r="S86" i="5"/>
  <c r="S266" i="5"/>
  <c r="S216" i="5"/>
  <c r="S13" i="5"/>
  <c r="S41" i="5"/>
  <c r="S321" i="5"/>
  <c r="S66" i="5"/>
  <c r="S203" i="5"/>
  <c r="S157" i="5"/>
  <c r="S96" i="5"/>
  <c r="S186" i="5"/>
  <c r="S116" i="5"/>
  <c r="S293" i="5"/>
  <c r="S333" i="5"/>
  <c r="S239" i="5"/>
  <c r="S150" i="5"/>
  <c r="S263" i="5"/>
  <c r="S301" i="5"/>
  <c r="S113" i="5"/>
  <c r="S255" i="5"/>
  <c r="S201" i="5"/>
  <c r="S223" i="5"/>
  <c r="S209" i="5"/>
  <c r="S12" i="5"/>
  <c r="S61" i="5"/>
  <c r="S27" i="5"/>
  <c r="S323" i="5"/>
  <c r="S22" i="5"/>
  <c r="S281" i="5"/>
  <c r="S16" i="5"/>
  <c r="S110" i="5"/>
  <c r="S142" i="5"/>
  <c r="S133" i="5"/>
  <c r="S264" i="5"/>
  <c r="S195" i="5"/>
  <c r="S98" i="5"/>
  <c r="S147" i="5"/>
  <c r="S82" i="5"/>
  <c r="S171" i="5"/>
  <c r="S24" i="5"/>
  <c r="S97" i="5"/>
  <c r="S158" i="5"/>
  <c r="S200" i="5"/>
  <c r="S48" i="5"/>
  <c r="S214" i="5"/>
  <c r="S279" i="5"/>
  <c r="S135" i="5"/>
  <c r="S120" i="5"/>
  <c r="S10" i="5"/>
  <c r="S288" i="5"/>
  <c r="S314" i="5"/>
  <c r="S328" i="5"/>
  <c r="S92" i="5"/>
  <c r="S5" i="5"/>
  <c r="S25" i="5"/>
  <c r="S250" i="5"/>
  <c r="S298" i="5"/>
  <c r="S306" i="5"/>
  <c r="S211" i="5"/>
  <c r="S299" i="5"/>
  <c r="S182" i="5"/>
  <c r="S310" i="5"/>
  <c r="S103" i="5"/>
  <c r="S35" i="5"/>
  <c r="S125" i="5"/>
  <c r="S153" i="5"/>
  <c r="S254" i="5"/>
  <c r="S18" i="5"/>
  <c r="S51" i="5"/>
  <c r="S141" i="5"/>
  <c r="S122" i="5"/>
  <c r="S330" i="5"/>
  <c r="S244" i="5"/>
  <c r="S317" i="5"/>
  <c r="S192" i="5"/>
  <c r="S53" i="5"/>
  <c r="S117" i="5"/>
  <c r="S277" i="5"/>
  <c r="S137" i="5"/>
  <c r="S327" i="5"/>
  <c r="S189" i="5"/>
  <c r="S187" i="5"/>
  <c r="S285" i="5"/>
  <c r="S9" i="5"/>
  <c r="S83" i="5"/>
  <c r="S73" i="5"/>
  <c r="S185" i="5"/>
  <c r="S307" i="5"/>
  <c r="S43" i="5"/>
  <c r="S7" i="5"/>
  <c r="S34" i="5"/>
  <c r="S87" i="5"/>
  <c r="S284" i="5"/>
  <c r="S202" i="5"/>
  <c r="G64" i="6" a="1"/>
  <c r="S123" i="5"/>
  <c r="S181" i="5"/>
  <c r="S134" i="5"/>
  <c r="S230" i="5"/>
  <c r="S313" i="5"/>
  <c r="S55" i="5"/>
  <c r="S196" i="5"/>
  <c r="S304" i="5"/>
  <c r="S324" i="5"/>
  <c r="S20" i="5"/>
  <c r="S218" i="5"/>
  <c r="S14" i="5"/>
  <c r="S72" i="5"/>
  <c r="S81" i="5"/>
  <c r="S101" i="5"/>
  <c r="S33" i="5"/>
  <c r="S124" i="5"/>
  <c r="S269" i="5"/>
  <c r="S308" i="5"/>
  <c r="S146" i="5"/>
  <c r="S271" i="5"/>
  <c r="S243" i="5"/>
  <c r="S262" i="5"/>
  <c r="S65" i="5"/>
  <c r="S231" i="5"/>
  <c r="S79" i="5"/>
  <c r="S283" i="5"/>
  <c r="S63" i="5"/>
  <c r="S15" i="5"/>
  <c r="S178" i="5"/>
  <c r="S297" i="5"/>
  <c r="S29" i="5"/>
  <c r="S332" i="5"/>
  <c r="S95" i="5"/>
  <c r="S121" i="5"/>
  <c r="S205" i="5"/>
  <c r="S64" i="5"/>
  <c r="S136" i="5"/>
  <c r="S177" i="5"/>
  <c r="S89" i="5"/>
  <c r="S126" i="5"/>
  <c r="S54" i="5"/>
  <c r="S260" i="5"/>
  <c r="S225" i="5"/>
  <c r="S56" i="5"/>
  <c r="S138" i="5"/>
  <c r="S180" i="5"/>
  <c r="S45" i="5"/>
  <c r="S227" i="5"/>
  <c r="S118" i="5"/>
  <c r="S154" i="5"/>
  <c r="S184" i="5"/>
  <c r="S148" i="5"/>
  <c r="S174" i="5"/>
  <c r="S164" i="5"/>
  <c r="S145" i="5"/>
  <c r="S62" i="5"/>
  <c r="S42" i="5"/>
  <c r="S197" i="5"/>
  <c r="S76" i="5"/>
  <c r="S265" i="5"/>
  <c r="S210" i="5"/>
  <c r="S242" i="5"/>
  <c r="S208" i="5"/>
  <c r="S190" i="5"/>
  <c r="S37" i="5"/>
  <c r="S326" i="5"/>
  <c r="S30" i="5"/>
  <c r="S207" i="5"/>
  <c r="S44" i="5"/>
  <c r="S287" i="5"/>
  <c r="S52" i="5"/>
  <c r="S302" i="5"/>
  <c r="S322" i="5"/>
  <c r="S267" i="5"/>
  <c r="S161" i="5"/>
  <c r="S131" i="5"/>
  <c r="S127" i="5"/>
  <c r="S115" i="5"/>
  <c r="S93" i="5"/>
  <c r="S144" i="5"/>
  <c r="S32" i="5"/>
  <c r="S58" i="5"/>
  <c r="S23" i="5"/>
  <c r="S176" i="5"/>
  <c r="S238" i="5"/>
  <c r="S8" i="5"/>
  <c r="S46" i="5"/>
  <c r="S28" i="5"/>
  <c r="S295" i="5"/>
  <c r="S163" i="5"/>
  <c r="S57" i="5"/>
  <c r="S40" i="5"/>
  <c r="S172" i="5"/>
  <c r="S319" i="5"/>
  <c r="S278" i="5"/>
  <c r="S320" i="5"/>
  <c r="S270" i="5"/>
  <c r="S291" i="5"/>
  <c r="S114" i="5"/>
  <c r="S198" i="5"/>
  <c r="S91" i="5"/>
  <c r="S130" i="5"/>
  <c r="S272" i="5"/>
  <c r="S36" i="5"/>
  <c r="S105" i="5"/>
  <c r="S221" i="5"/>
  <c r="S228" i="5"/>
  <c r="S107" i="5"/>
  <c r="S159" i="5"/>
  <c r="S94" i="5"/>
  <c r="S325" i="5"/>
  <c r="S311" i="5"/>
  <c r="S112" i="5"/>
  <c r="S50" i="5"/>
  <c r="S220" i="5"/>
  <c r="S261" i="5"/>
  <c r="S77" i="5"/>
  <c r="S241" i="5"/>
  <c r="S108" i="5"/>
  <c r="S248" i="5"/>
  <c r="S251" i="5"/>
  <c r="S21" i="5"/>
  <c r="S229" i="5"/>
  <c r="S309" i="5"/>
  <c r="S17" i="5"/>
  <c r="S212" i="5"/>
  <c r="S316" i="5"/>
  <c r="S300" i="5"/>
  <c r="S286" i="5"/>
  <c r="S303" i="5"/>
  <c r="S68" i="5"/>
  <c r="S215" i="5"/>
  <c r="S233" i="5"/>
  <c r="S19" i="5"/>
  <c r="S249" i="5"/>
  <c r="S191" i="5"/>
  <c r="S289" i="5"/>
  <c r="S257" i="5"/>
  <c r="S85" i="5"/>
  <c r="S276" i="5"/>
  <c r="S162" i="5"/>
  <c r="S232" i="5"/>
  <c r="S329" i="5"/>
  <c r="S194" i="5"/>
  <c r="S60" i="5"/>
  <c r="S49" i="5"/>
  <c r="S71" i="5"/>
  <c r="S252" i="5"/>
  <c r="S139" i="5"/>
  <c r="S111" i="5"/>
  <c r="S292" i="5"/>
  <c r="S169" i="5"/>
  <c r="S204" i="5"/>
  <c r="S102" i="5"/>
  <c r="S166" i="5"/>
  <c r="S155" i="5"/>
  <c r="S59" i="5"/>
  <c r="S119" i="5"/>
  <c r="S165" i="5"/>
  <c r="S193" i="5"/>
  <c r="S80" i="5"/>
  <c r="S152" i="5"/>
  <c r="S217" i="5"/>
  <c r="S173" i="5"/>
  <c r="S70" i="5"/>
  <c r="S175" i="5"/>
  <c r="S109" i="5"/>
  <c r="S38" i="5"/>
  <c r="S106" i="5"/>
  <c r="S179" i="5"/>
  <c r="S246" i="5"/>
  <c r="S151" i="5"/>
  <c r="S253" i="5"/>
  <c r="S213" i="5"/>
  <c r="S331" i="5"/>
  <c r="S170" i="5"/>
  <c r="S132" i="5"/>
  <c r="S318" i="5"/>
  <c r="S129" i="5"/>
  <c r="S78" i="5"/>
  <c r="S67" i="5"/>
  <c r="S84" i="5"/>
  <c r="S224" i="5"/>
  <c r="S6" i="5"/>
  <c r="S99" i="5"/>
  <c r="S219" i="5"/>
  <c r="S236" i="5"/>
  <c r="S234" i="5"/>
  <c r="S247" i="5"/>
  <c r="S245" i="5"/>
  <c r="S156" i="5"/>
  <c r="S90" i="5"/>
  <c r="S237" i="5"/>
  <c r="S149" i="5"/>
  <c r="S268" i="5"/>
  <c r="S235" i="5"/>
  <c r="S188" i="5"/>
  <c r="S240" i="5"/>
  <c r="S167" i="5"/>
  <c r="S305" i="5"/>
  <c r="S258" i="5"/>
  <c r="S275" i="5"/>
  <c r="S274" i="5"/>
  <c r="S26" i="5"/>
  <c r="S256" i="5"/>
  <c r="S315" i="5"/>
  <c r="S206" i="5"/>
  <c r="S11" i="5"/>
  <c r="S128" i="5"/>
  <c r="S88" i="5"/>
  <c r="S143" i="5"/>
  <c r="S104" i="5"/>
  <c r="S140" i="5"/>
  <c r="S75" i="5"/>
  <c r="S294" i="5"/>
  <c r="S312" i="5"/>
  <c r="S31" i="5"/>
  <c r="S282" i="5"/>
  <c r="S160" i="5"/>
  <c r="S47" i="5"/>
  <c r="S273" i="5"/>
  <c r="S259" i="5"/>
  <c r="S296" i="5"/>
  <c r="S183" i="5"/>
  <c r="S222" i="5"/>
  <c r="S199" i="5"/>
  <c r="S226" i="5"/>
  <c r="G65" i="6" l="1"/>
  <c r="H65" i="6" s="1"/>
  <c r="C65" i="6" s="1"/>
  <c r="D43" i="4"/>
  <c r="B58" i="4"/>
  <c r="A41" i="6" s="1"/>
  <c r="B64" i="4"/>
  <c r="A46" i="6" s="1"/>
  <c r="B69" i="4"/>
  <c r="A50" i="6" s="1"/>
  <c r="B70" i="4"/>
  <c r="A51" i="6" s="1"/>
  <c r="D67" i="4"/>
  <c r="B52" i="4"/>
  <c r="A36" i="6" s="1"/>
  <c r="B35" i="4"/>
  <c r="A22" i="6" s="1"/>
  <c r="D61" i="4"/>
  <c r="D37" i="4"/>
  <c r="D74" i="4"/>
  <c r="B33" i="4"/>
  <c r="A20" i="6" s="1"/>
  <c r="A15" i="6"/>
  <c r="D55" i="4"/>
  <c r="B32" i="4"/>
  <c r="A19" i="6" s="1"/>
  <c r="A27" i="6"/>
  <c r="D31" i="4"/>
  <c r="B34" i="4"/>
  <c r="A21" i="6" s="1"/>
  <c r="G67" i="6"/>
  <c r="H67" i="6" s="1"/>
  <c r="D67" i="6" s="1"/>
  <c r="G68" i="6"/>
  <c r="H68" i="6" s="1"/>
  <c r="G66" i="6"/>
  <c r="H66" i="6" s="1"/>
  <c r="G37" i="4"/>
  <c r="G55" i="4"/>
  <c r="G49" i="4"/>
  <c r="B50" i="4"/>
  <c r="A34" i="6" s="1"/>
  <c r="G64" i="6"/>
  <c r="C69" i="6"/>
  <c r="B51" i="4"/>
  <c r="A35" i="6" s="1"/>
  <c r="G31" i="4"/>
  <c r="B71" i="4"/>
  <c r="A52" i="6" s="1"/>
  <c r="B62" i="4"/>
  <c r="A44" i="6" s="1"/>
  <c r="G61" i="4"/>
  <c r="G69" i="6" a="1"/>
  <c r="G69" i="6" s="1"/>
  <c r="H69" i="6" s="1"/>
  <c r="B65" i="4"/>
  <c r="A47" i="6" s="1"/>
  <c r="B68" i="4"/>
  <c r="A49" i="6" s="1"/>
  <c r="A25" i="6"/>
  <c r="G74" i="4"/>
  <c r="B59" i="4"/>
  <c r="A42" i="6" s="1"/>
  <c r="B57" i="4"/>
  <c r="A40" i="6" s="1"/>
  <c r="A24" i="6"/>
  <c r="G67" i="4"/>
  <c r="T90" i="5"/>
  <c r="T95" i="5"/>
  <c r="T51" i="5"/>
  <c r="T195" i="5"/>
  <c r="T283" i="5"/>
  <c r="T21" i="5"/>
  <c r="T73" i="5"/>
  <c r="T273" i="5"/>
  <c r="T271" i="5"/>
  <c r="T130" i="5"/>
  <c r="T145" i="5"/>
  <c r="T203" i="5"/>
  <c r="T297" i="5"/>
  <c r="T15" i="5"/>
  <c r="T17" i="5"/>
  <c r="T262" i="5"/>
  <c r="T78" i="5"/>
  <c r="T136" i="5"/>
  <c r="T147" i="5"/>
  <c r="T193" i="5"/>
  <c r="T135" i="5"/>
  <c r="T302" i="5"/>
  <c r="T83" i="5"/>
  <c r="T159" i="5"/>
  <c r="T18" i="5"/>
  <c r="T237" i="5"/>
  <c r="T164" i="5"/>
  <c r="T66" i="5"/>
  <c r="T314" i="5"/>
  <c r="T281" i="5"/>
  <c r="T276" i="5"/>
  <c r="T48" i="5"/>
  <c r="T32" i="5"/>
  <c r="T64" i="5"/>
  <c r="T298" i="5"/>
  <c r="T77" i="5"/>
  <c r="T9" i="5"/>
  <c r="T52" i="5"/>
  <c r="T12" i="5"/>
  <c r="T128" i="5"/>
  <c r="T254" i="5"/>
  <c r="T303" i="5"/>
  <c r="T174" i="5"/>
  <c r="T36" i="5"/>
  <c r="T72" i="5"/>
  <c r="T22" i="5"/>
  <c r="T143" i="5"/>
  <c r="T244" i="5"/>
  <c r="T26" i="5"/>
  <c r="T205" i="5"/>
  <c r="T71" i="5"/>
  <c r="T57" i="5"/>
  <c r="T241" i="5"/>
  <c r="T199" i="5"/>
  <c r="T214" i="5"/>
  <c r="T111" i="5"/>
  <c r="T89" i="5"/>
  <c r="T250" i="5"/>
  <c r="T82" i="5"/>
  <c r="T172" i="5"/>
  <c r="T279" i="5"/>
  <c r="T224" i="5"/>
  <c r="T54" i="5"/>
  <c r="T56" i="5"/>
  <c r="T320" i="5"/>
  <c r="T189" i="5"/>
  <c r="T235" i="5"/>
  <c r="T79" i="5"/>
  <c r="T70" i="5"/>
  <c r="T230" i="5"/>
  <c r="T91" i="5"/>
  <c r="T11" i="5"/>
  <c r="T125" i="5"/>
  <c r="T258" i="5"/>
  <c r="T102" i="5"/>
  <c r="T133" i="5"/>
  <c r="T232" i="5"/>
  <c r="T53" i="5"/>
  <c r="T213" i="5"/>
  <c r="T177" i="5"/>
  <c r="T99" i="5"/>
  <c r="T299" i="5"/>
  <c r="T194" i="5"/>
  <c r="T231" i="5"/>
  <c r="T176" i="5"/>
  <c r="T306" i="5"/>
  <c r="T182" i="5"/>
  <c r="T220" i="5"/>
  <c r="T327" i="5"/>
  <c r="T60" i="5"/>
  <c r="T223" i="5"/>
  <c r="T47" i="5"/>
  <c r="T146" i="5"/>
  <c r="T282" i="5"/>
  <c r="T228" i="5"/>
  <c r="T35" i="5"/>
  <c r="T286" i="5"/>
  <c r="T169" i="5"/>
  <c r="T85" i="5"/>
  <c r="T318" i="5"/>
  <c r="T157" i="5"/>
  <c r="T109" i="5"/>
  <c r="T58" i="5"/>
  <c r="T332" i="5"/>
  <c r="T325" i="5"/>
  <c r="T76" i="5"/>
  <c r="T272" i="5"/>
  <c r="T105" i="5"/>
  <c r="T112" i="5"/>
  <c r="T160" i="5"/>
  <c r="T166" i="5"/>
  <c r="T290" i="5"/>
  <c r="T46" i="5"/>
  <c r="T86" i="5"/>
  <c r="T97" i="5"/>
  <c r="T40" i="5"/>
  <c r="T331" i="5"/>
  <c r="T84" i="5"/>
  <c r="T134" i="5"/>
  <c r="T319" i="5"/>
  <c r="T239" i="5"/>
  <c r="T149" i="5"/>
  <c r="T242" i="5"/>
  <c r="T190" i="5"/>
  <c r="T175" i="5"/>
  <c r="T151" i="5"/>
  <c r="T252" i="5"/>
  <c r="T42" i="5"/>
  <c r="T196" i="5"/>
  <c r="T23" i="5"/>
  <c r="T269" i="5"/>
  <c r="T179" i="5"/>
  <c r="T238" i="5"/>
  <c r="T256" i="5"/>
  <c r="T187" i="5"/>
  <c r="T324" i="5"/>
  <c r="T180" i="5"/>
  <c r="T289" i="5"/>
  <c r="T115" i="5"/>
  <c r="T31" i="5"/>
  <c r="T285" i="5"/>
  <c r="T287" i="5"/>
  <c r="T234" i="5"/>
  <c r="T107" i="5"/>
  <c r="T321" i="5"/>
  <c r="T212" i="5"/>
  <c r="T243" i="5"/>
  <c r="T155" i="5"/>
  <c r="T123" i="5"/>
  <c r="T323" i="5"/>
  <c r="T94" i="5"/>
  <c r="T330" i="5"/>
  <c r="T215" i="5"/>
  <c r="T121" i="5"/>
  <c r="T284" i="5"/>
  <c r="T261" i="5"/>
  <c r="T295" i="5"/>
  <c r="T44" i="5"/>
  <c r="T167" i="5"/>
  <c r="T148" i="5"/>
  <c r="T41" i="5"/>
  <c r="T170" i="5"/>
  <c r="T200" i="5"/>
  <c r="T152" i="5"/>
  <c r="T248" i="5"/>
  <c r="T27" i="5"/>
  <c r="T275" i="5"/>
  <c r="T186" i="5"/>
  <c r="T246" i="5"/>
  <c r="T5" i="5"/>
  <c r="T87" i="5"/>
  <c r="T300" i="5"/>
  <c r="T142" i="5"/>
  <c r="T268" i="5"/>
  <c r="T192" i="5"/>
  <c r="T217" i="5"/>
  <c r="T124" i="5"/>
  <c r="T6" i="5"/>
  <c r="T100" i="5"/>
  <c r="T253" i="5"/>
  <c r="T137" i="5"/>
  <c r="T173" i="5"/>
  <c r="T25" i="5"/>
  <c r="T211" i="5"/>
  <c r="T294" i="5"/>
  <c r="T113" i="5"/>
  <c r="T207" i="5"/>
  <c r="T201" i="5"/>
  <c r="T191" i="5"/>
  <c r="T171" i="5"/>
  <c r="T80" i="5"/>
  <c r="T154" i="5"/>
  <c r="T216" i="5"/>
  <c r="T119" i="5"/>
  <c r="T162" i="5"/>
  <c r="T110" i="5"/>
  <c r="T210" i="5"/>
  <c r="T333" i="5"/>
  <c r="T270" i="5"/>
  <c r="T181" i="5"/>
  <c r="T292" i="5"/>
  <c r="T69" i="5"/>
  <c r="T329" i="5"/>
  <c r="T277" i="5"/>
  <c r="T222" i="5"/>
  <c r="T8" i="5"/>
  <c r="T168" i="5"/>
  <c r="T50" i="5"/>
  <c r="T301" i="5"/>
  <c r="T30" i="5"/>
  <c r="T255" i="5"/>
  <c r="T206" i="5"/>
  <c r="T103" i="5"/>
  <c r="T127" i="5"/>
  <c r="T118" i="5"/>
  <c r="T274" i="5"/>
  <c r="T104" i="5"/>
  <c r="T16" i="5"/>
  <c r="T265" i="5"/>
  <c r="T293" i="5"/>
  <c r="T129" i="5"/>
  <c r="T33" i="5"/>
  <c r="T249" i="5"/>
  <c r="T322" i="5"/>
  <c r="T259" i="5"/>
  <c r="T117" i="5"/>
  <c r="T19" i="5"/>
  <c r="T226" i="5"/>
  <c r="T288" i="5"/>
  <c r="T75" i="5"/>
  <c r="T260" i="5"/>
  <c r="T326" i="5"/>
  <c r="T219" i="5"/>
  <c r="T221" i="5"/>
  <c r="T266" i="5"/>
  <c r="T165" i="5"/>
  <c r="T227" i="5"/>
  <c r="T68" i="5"/>
  <c r="T20" i="5"/>
  <c r="T185" i="5"/>
  <c r="T158" i="5"/>
  <c r="T88" i="5"/>
  <c r="T93" i="5"/>
  <c r="T218" i="5"/>
  <c r="T55" i="5"/>
  <c r="T161" i="5"/>
  <c r="T156" i="5"/>
  <c r="T108" i="5"/>
  <c r="T116" i="5"/>
  <c r="T131" i="5"/>
  <c r="T251" i="5"/>
  <c r="T150" i="5"/>
  <c r="T240" i="5"/>
  <c r="T208" i="5"/>
  <c r="T37" i="5"/>
  <c r="T315" i="5"/>
  <c r="T257" i="5"/>
  <c r="T183" i="5"/>
  <c r="T197" i="5"/>
  <c r="T65" i="5"/>
  <c r="T101" i="5"/>
  <c r="T138" i="5"/>
  <c r="T140" i="5"/>
  <c r="T92" i="5"/>
  <c r="T114" i="5"/>
  <c r="T278" i="5"/>
  <c r="T45" i="5"/>
  <c r="T39" i="5"/>
  <c r="T24" i="5"/>
  <c r="T245" i="5"/>
  <c r="T38" i="5"/>
  <c r="T126" i="5"/>
  <c r="T225" i="5"/>
  <c r="T304" i="5"/>
  <c r="T328" i="5"/>
  <c r="T106" i="5"/>
  <c r="T49" i="5"/>
  <c r="T316" i="5"/>
  <c r="T132" i="5"/>
  <c r="T153" i="5"/>
  <c r="T120" i="5"/>
  <c r="T236" i="5"/>
  <c r="T43" i="5"/>
  <c r="T204" i="5"/>
  <c r="T184" i="5"/>
  <c r="T13" i="5"/>
  <c r="T198" i="5"/>
  <c r="T122" i="5"/>
  <c r="T188" i="5"/>
  <c r="T14" i="5"/>
  <c r="T61" i="5"/>
  <c r="T178" i="5"/>
  <c r="T96" i="5"/>
  <c r="T29" i="5"/>
  <c r="T98" i="5"/>
  <c r="T34" i="5"/>
  <c r="T63" i="5"/>
  <c r="T28" i="5"/>
  <c r="T307" i="5"/>
  <c r="T59" i="5"/>
  <c r="T313" i="5"/>
  <c r="T144" i="5"/>
  <c r="T229" i="5"/>
  <c r="T141" i="5"/>
  <c r="T139" i="5"/>
  <c r="T10" i="5"/>
  <c r="T163" i="5"/>
  <c r="T62" i="5"/>
  <c r="T67" i="5"/>
  <c r="T81" i="5"/>
  <c r="T74" i="5"/>
  <c r="T7" i="5"/>
  <c r="D65" i="6" l="1"/>
  <c r="C68" i="6"/>
  <c r="D68" i="6"/>
  <c r="D66" i="6"/>
  <c r="C66" i="6"/>
  <c r="C67" i="6"/>
  <c r="B64" i="6"/>
  <c r="H64" i="6"/>
  <c r="H70" i="6" l="1"/>
  <c r="D2" i="6" s="1"/>
  <c r="D64" i="6"/>
  <c r="C64"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<sst xmlns="http://schemas.openxmlformats.org/spreadsheetml/2006/main" count="23870" uniqueCount="15849">
  <si>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</si>
  <si>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</si>
  <si>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</si>
  <si>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</si>
  <si>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</si>
  <si>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</si>
  <si>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</si>
  <si>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</si>
  <si>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</si>
  <si>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</si>
  <si>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</si>
  <si>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</si>
  <si>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</si>
  <si>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</si>
  <si>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</si>
  <si>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</si>
  <si>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</si>
  <si>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</si>
  <si>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</si>
  <si>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</si>
  <si>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</si>
  <si>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</si>
  <si>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</si>
  <si>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</si>
  <si>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</si>
  <si>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</si>
  <si>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</si>
  <si>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</si>
  <si>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</si>
  <si>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</si>
  <si>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</si>
  <si>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</si>
  <si>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</si>
  <si>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</si>
  <si>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</si>
  <si>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</si>
  <si>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</si>
  <si>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</si>
  <si>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</si>
  <si>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</si>
  <si>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</si>
  <si>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</si>
  <si>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</si>
  <si>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</si>
  <si>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</si>
  <si>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</si>
  <si>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</si>
  <si>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</si>
  <si>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</si>
  <si>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</si>
  <si>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</si>
  <si>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</si>
  <si>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</si>
  <si>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</si>
  <si>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</si>
  <si>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</si>
  <si>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</si>
  <si>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</si>
  <si>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</si>
  <si>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</si>
  <si>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</si>
  <si>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</si>
  <si>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</si>
  <si>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</si>
  <si>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</si>
  <si>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</si>
  <si>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</si>
  <si>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</si>
  <si>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</si>
  <si>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</si>
  <si>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</si>
  <si>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</si>
  <si>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</si>
  <si>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</si>
  <si>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</si>
  <si>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</si>
  <si>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</si>
  <si>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</si>
  <si>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</si>
  <si>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</si>
  <si>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</si>
  <si>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</si>
  <si>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</si>
  <si>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</si>
  <si>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</si>
  <si>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</si>
  <si>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</si>
  <si>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</si>
  <si>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</si>
  <si>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</si>
  <si>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</si>
  <si>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</si>
  <si>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</si>
  <si>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</si>
  <si>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</si>
  <si>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</si>
  <si>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</si>
  <si>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</si>
  <si>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</si>
  <si>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</si>
  <si>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</si>
  <si>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</si>
  <si>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</si>
  <si>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</si>
  <si>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</si>
  <si>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</si>
  <si>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</si>
  <si>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</si>
  <si>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</si>
  <si>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</si>
  <si>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</si>
  <si>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</si>
  <si>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</si>
  <si>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</si>
  <si>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</si>
  <si>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</si>
  <si>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</si>
  <si>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</si>
  <si>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</si>
  <si>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</si>
  <si>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</si>
  <si>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</si>
  <si>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</si>
  <si>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</si>
  <si>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</si>
  <si>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</si>
  <si>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</si>
  <si>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</si>
  <si>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</si>
  <si>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</si>
  <si>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</si>
  <si>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</si>
  <si>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</si>
  <si>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</si>
  <si>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</si>
  <si>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</si>
  <si>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</si>
  <si>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</si>
  <si>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</si>
  <si>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</si>
  <si>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</si>
  <si>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</si>
  <si>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</si>
  <si>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</si>
  <si>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</si>
  <si>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</si>
  <si>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</si>
  <si>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</si>
  <si>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</si>
  <si>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</si>
  <si>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</si>
  <si>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</si>
  <si>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</si>
  <si>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</si>
  <si>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</si>
  <si>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</si>
  <si>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</si>
  <si>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</si>
  <si>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</si>
  <si>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</si>
  <si>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</si>
  <si>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</si>
  <si>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</si>
  <si>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</si>
  <si>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</si>
  <si>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</si>
  <si>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</si>
  <si>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</si>
  <si>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</si>
  <si>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</si>
  <si>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</si>
  <si>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</si>
  <si>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</si>
  <si>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</si>
  <si>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</si>
  <si>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</si>
  <si>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</si>
  <si>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</si>
  <si>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</si>
  <si>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</si>
  <si>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</si>
  <si>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</si>
  <si>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</si>
  <si>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</si>
  <si>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</si>
  <si>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</si>
  <si>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</si>
  <si>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</si>
  <si>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</si>
  <si>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</si>
  <si>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</si>
  <si>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</si>
  <si>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</si>
  <si>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</si>
  <si>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</si>
  <si>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</si>
  <si>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</si>
  <si>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</si>
  <si>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</si>
  <si>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</si>
  <si>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</si>
  <si>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</si>
  <si>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</si>
  <si>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</si>
  <si>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</si>
  <si>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</si>
  <si>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</si>
  <si>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</si>
  <si>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</si>
  <si>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</si>
  <si>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</si>
  <si>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</si>
  <si>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</si>
  <si>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</si>
  <si>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</si>
  <si>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</si>
  <si>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</si>
  <si>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</si>
  <si>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</si>
  <si>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</si>
  <si>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</si>
  <si>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</si>
  <si>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</si>
  <si>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</si>
  <si>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</si>
  <si>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</si>
  <si>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</si>
  <si>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</si>
  <si>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</si>
  <si>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</si>
  <si>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</si>
  <si>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</si>
  <si>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</si>
  <si>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</si>
  <si>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</si>
  <si>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</si>
  <si>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</si>
  <si>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</si>
  <si>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</si>
  <si>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</si>
  <si>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</si>
  <si>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</si>
  <si>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</si>
  <si>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</si>
  <si>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</si>
  <si>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</si>
  <si>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</si>
  <si>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</si>
  <si>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</si>
  <si>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</si>
  <si>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</si>
  <si>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</si>
  <si>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</si>
  <si>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</si>
  <si>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</si>
  <si>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</si>
  <si>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</si>
  <si>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</si>
  <si>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</si>
  <si>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</si>
  <si>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</si>
  <si>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</si>
  <si>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</si>
  <si>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</si>
  <si>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</si>
  <si>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</si>
  <si>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</si>
  <si>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</si>
  <si>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</si>
  <si>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</si>
  <si>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</si>
  <si>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</si>
  <si>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</si>
  <si>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</si>
  <si>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</si>
  <si>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</si>
  <si>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</si>
  <si>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</si>
  <si>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</si>
  <si>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</si>
  <si>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</si>
  <si>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</si>
  <si>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</si>
  <si>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</si>
  <si>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</si>
  <si>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</si>
  <si>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</si>
  <si>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</si>
  <si>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</si>
  <si>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</si>
  <si>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</si>
  <si>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</si>
  <si>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</si>
  <si>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</si>
  <si>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</si>
  <si>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</si>
  <si>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</si>
  <si>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</si>
  <si>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</si>
  <si>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</si>
  <si>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</si>
  <si>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</si>
  <si>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</si>
  <si>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</si>
  <si>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</si>
  <si>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</si>
  <si>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</si>
  <si>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</si>
  <si>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</si>
  <si>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</si>
  <si>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</si>
  <si>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</si>
  <si>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</si>
  <si>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</si>
  <si>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</si>
  <si>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</si>
  <si>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</si>
  <si>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</si>
  <si>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</si>
  <si>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</si>
  <si>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</si>
  <si>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</si>
  <si>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</si>
  <si>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</si>
  <si>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</si>
  <si>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</si>
  <si>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</si>
  <si>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</si>
  <si>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</si>
  <si>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</si>
  <si>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</si>
  <si>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</si>
  <si>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</si>
  <si>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</si>
  <si>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</si>
  <si>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</si>
  <si>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</si>
  <si>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</si>
  <si>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</si>
  <si>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</si>
  <si>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</si>
  <si>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</si>
  <si>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</si>
  <si>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</si>
  <si>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</si>
  <si>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</si>
  <si>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</si>
  <si>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</si>
  <si>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</si>
  <si>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</si>
  <si>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</si>
  <si>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</si>
  <si>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</si>
  <si>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</si>
  <si>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</si>
  <si>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</si>
  <si>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</si>
  <si>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</si>
  <si>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</si>
  <si>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</si>
  <si>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</si>
  <si>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</si>
  <si>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</si>
  <si>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</si>
  <si>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</si>
  <si>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</si>
  <si>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</si>
  <si>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</si>
  <si>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</si>
  <si>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</si>
  <si>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</si>
  <si>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</si>
  <si>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</si>
  <si>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</si>
  <si>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</si>
  <si>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</si>
  <si>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</si>
  <si>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</si>
  <si>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</si>
  <si>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</si>
  <si>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</si>
  <si>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</si>
  <si>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</si>
  <si>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</si>
  <si>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</si>
  <si>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</si>
  <si>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</si>
  <si>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</si>
  <si>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</si>
  <si>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</si>
  <si>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</si>
  <si>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</si>
  <si>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</si>
  <si>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</si>
  <si>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</si>
  <si>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</si>
  <si>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</si>
  <si>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</si>
  <si>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</si>
  <si>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</si>
  <si>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</si>
  <si>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</si>
  <si>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</si>
  <si>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</si>
  <si>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</si>
  <si>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</si>
  <si>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</si>
  <si>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</si>
  <si>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</si>
  <si>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</si>
  <si>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</si>
  <si>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</si>
  <si>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</si>
  <si>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</si>
  <si>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</si>
  <si>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</si>
  <si>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</si>
  <si>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</si>
  <si>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</si>
  <si>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</si>
  <si>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</si>
  <si>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</si>
  <si>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</si>
  <si>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</si>
  <si>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</si>
  <si>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</si>
  <si>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</si>
  <si>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</si>
  <si>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</si>
  <si>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</si>
  <si>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</si>
  <si>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</si>
  <si>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</si>
  <si>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</si>
  <si>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</si>
  <si>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</si>
  <si>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</si>
  <si>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</si>
  <si>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</si>
  <si>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</si>
  <si>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</si>
  <si>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</si>
  <si>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</si>
  <si>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</si>
  <si>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</si>
  <si>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</si>
  <si>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</si>
  <si>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</si>
  <si>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</si>
  <si>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</si>
  <si>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</si>
  <si>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</si>
  <si>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</si>
  <si>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</si>
  <si>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</si>
  <si>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</si>
  <si>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</si>
  <si>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</si>
  <si>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</si>
  <si>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</si>
  <si>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</si>
  <si>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</si>
  <si>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</si>
  <si>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</si>
  <si>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</si>
  <si>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</si>
  <si>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</si>
  <si>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</si>
  <si>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</si>
  <si>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</si>
  <si>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</si>
  <si>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</si>
  <si>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</si>
  <si>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</si>
  <si>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</si>
  <si>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</si>
  <si>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</si>
  <si>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</si>
  <si>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</si>
  <si>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</si>
  <si>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</si>
  <si>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</si>
  <si>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</si>
  <si>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</si>
  <si>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</si>
  <si>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</si>
  <si>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</si>
  <si>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</si>
  <si>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</si>
  <si>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</si>
  <si>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</si>
  <si>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</si>
  <si>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</si>
  <si>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</si>
  <si>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</si>
  <si>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</si>
  <si>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</si>
  <si>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</si>
  <si>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</si>
  <si>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</si>
  <si>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</si>
  <si>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</si>
  <si>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</si>
  <si>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</si>
  <si>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</si>
  <si>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</si>
  <si>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</si>
  <si>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</si>
  <si>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</si>
  <si>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</si>
  <si>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</si>
  <si>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</si>
  <si>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</si>
  <si>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</si>
  <si>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</si>
  <si>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</si>
  <si>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</si>
  <si>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</si>
  <si>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</si>
  <si>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</si>
  <si>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</si>
  <si>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</si>
  <si>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</si>
  <si>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</si>
  <si>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</si>
  <si>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</si>
  <si>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</si>
  <si>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</si>
  <si>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</si>
  <si>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</si>
  <si>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</si>
  <si>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</si>
  <si>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</si>
  <si>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</si>
  <si>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</si>
  <si>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</si>
  <si>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</si>
  <si>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</si>
  <si>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</si>
  <si>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</si>
  <si>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</si>
  <si>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</si>
  <si>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</si>
  <si>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</si>
  <si>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</si>
  <si>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</si>
  <si>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</si>
  <si>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</si>
  <si>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</si>
  <si>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</si>
  <si>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</si>
  <si>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</si>
  <si>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</si>
  <si>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</si>
  <si>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</si>
  <si>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</si>
  <si>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</si>
  <si>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</si>
  <si>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</si>
  <si>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</si>
  <si>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</si>
  <si>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</si>
  <si>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</si>
  <si>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</si>
  <si>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</si>
  <si>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</si>
  <si>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</si>
  <si>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</si>
  <si>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</si>
  <si>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</si>
  <si>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</si>
  <si>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</si>
  <si>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</si>
  <si>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</si>
  <si>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</si>
  <si>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</si>
  <si>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</si>
  <si>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</si>
  <si>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</si>
  <si>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</si>
  <si>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</si>
  <si>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</si>
  <si>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</si>
  <si>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</si>
  <si>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</si>
  <si>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</si>
  <si>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</si>
  <si>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</si>
  <si>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</si>
  <si>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</si>
  <si>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</si>
  <si>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</si>
  <si>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</si>
  <si>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</si>
  <si>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</si>
  <si>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</si>
  <si>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</si>
  <si>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</si>
  <si>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</si>
  <si>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</si>
  <si>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</si>
  <si>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</si>
  <si>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</si>
  <si>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</si>
  <si>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</si>
  <si>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</si>
  <si>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</si>
  <si>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</si>
  <si>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</si>
  <si>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</si>
  <si>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</si>
  <si>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</si>
  <si>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</si>
  <si>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</si>
  <si>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</si>
  <si>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</si>
  <si>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</si>
  <si>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</si>
  <si>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</si>
  <si>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</si>
  <si>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</si>
  <si>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</si>
  <si>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</si>
  <si>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</si>
  <si>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</si>
  <si>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</si>
  <si>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</si>
  <si>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</si>
  <si>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</si>
  <si>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</si>
  <si>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</si>
  <si>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</si>
  <si>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</si>
  <si>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</si>
  <si>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</si>
  <si>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</si>
  <si>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</si>
  <si>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</si>
  <si>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</si>
  <si>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</si>
  <si>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</si>
  <si>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</si>
  <si>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</si>
  <si>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</si>
  <si>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</si>
  <si>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</si>
  <si>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</si>
  <si>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</si>
  <si>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</si>
  <si>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</si>
  <si>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</si>
  <si>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</si>
  <si>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</si>
  <si>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</si>
  <si>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</si>
  <si>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</si>
  <si>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</si>
  <si>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</si>
  <si>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</si>
  <si>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</si>
  <si>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</si>
  <si>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</si>
  <si>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</si>
  <si>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</si>
  <si>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</si>
  <si>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</si>
  <si>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</si>
  <si>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</si>
  <si>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</si>
  <si>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</si>
  <si>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</si>
  <si>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</si>
  <si>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</si>
  <si>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</si>
  <si>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</si>
  <si>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</si>
  <si>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</si>
  <si>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</si>
  <si>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</si>
  <si>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</si>
  <si>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</si>
  <si>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</si>
  <si>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</si>
  <si>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</si>
  <si>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</si>
  <si>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</si>
  <si>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</si>
  <si>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</si>
  <si>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</si>
  <si>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</si>
  <si>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</si>
  <si>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</si>
  <si>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</si>
  <si>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</si>
  <si>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</si>
  <si>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</si>
  <si>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</si>
  <si>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</si>
  <si>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</si>
  <si>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</si>
  <si>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</si>
  <si>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</si>
  <si>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</si>
  <si>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</si>
  <si>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</si>
  <si>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</si>
  <si>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</si>
  <si>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</si>
  <si>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</si>
  <si>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</si>
  <si>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</si>
  <si>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</si>
  <si>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</si>
  <si>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</si>
  <si>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</si>
  <si>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</si>
  <si>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</si>
  <si>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</si>
  <si>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</si>
  <si>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</si>
  <si>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</si>
  <si>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</si>
  <si>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</si>
  <si>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</si>
  <si>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</si>
  <si>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</si>
  <si>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</si>
  <si>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</si>
  <si>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</si>
  <si>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</si>
  <si>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</si>
  <si>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</si>
  <si>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</si>
  <si>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</si>
  <si>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</si>
  <si>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</si>
  <si>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</si>
  <si>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</si>
  <si>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</si>
  <si>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</si>
  <si>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</si>
  <si>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</si>
  <si>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</si>
  <si>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</si>
  <si>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</si>
  <si>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</si>
  <si>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</si>
  <si>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</si>
  <si>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</si>
  <si>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</si>
  <si>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</si>
  <si>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</si>
  <si>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</si>
  <si>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</si>
  <si>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</si>
  <si>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</si>
  <si>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</si>
  <si>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</si>
  <si>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</si>
  <si>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</si>
  <si>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</si>
  <si>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</si>
  <si>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</si>
  <si>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</si>
  <si>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</si>
  <si>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</si>
  <si>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</si>
  <si>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</si>
  <si>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</si>
  <si>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</si>
  <si>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</si>
  <si>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</si>
  <si>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</si>
  <si>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</si>
  <si>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</si>
  <si>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</si>
  <si>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</si>
  <si>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</si>
  <si>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</si>
  <si>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</si>
  <si>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</si>
  <si>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</si>
  <si>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</si>
  <si>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</si>
  <si>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</si>
  <si>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</si>
  <si>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</si>
  <si>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</si>
  <si>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</si>
  <si>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</si>
  <si>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</si>
  <si>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</si>
  <si>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</si>
  <si>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</si>
  <si>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</si>
  <si>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</si>
  <si>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</si>
  <si>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</si>
  <si>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</si>
  <si>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</si>
  <si>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</si>
  <si>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</si>
  <si>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</si>
  <si>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</si>
  <si>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</si>
  <si>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</si>
  <si>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</si>
  <si>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</si>
  <si>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</si>
  <si>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</si>
  <si>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</si>
  <si>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</si>
  <si>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</si>
  <si>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</si>
  <si>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</si>
  <si>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</si>
  <si>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</si>
  <si>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</si>
  <si>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</si>
  <si>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</si>
  <si>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</si>
  <si>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</si>
  <si>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</si>
  <si>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</si>
  <si>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</si>
  <si>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</si>
  <si>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</si>
  <si>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</si>
  <si>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</si>
  <si>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</si>
  <si>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</si>
  <si>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</si>
  <si>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</si>
  <si>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</si>
  <si>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</si>
  <si>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</si>
  <si>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</si>
  <si>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</si>
  <si>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</si>
  <si>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</si>
  <si>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</si>
  <si>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</si>
  <si>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</si>
  <si>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</si>
  <si>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</si>
  <si>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</si>
  <si>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</si>
  <si>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</si>
  <si>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</si>
  <si>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</si>
  <si>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</si>
  <si>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</si>
  <si>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</si>
  <si>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</si>
  <si>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</si>
  <si>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</si>
  <si>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</si>
  <si>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</si>
  <si>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</si>
  <si>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</si>
  <si>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</si>
  <si>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</si>
  <si>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</si>
  <si>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</si>
  <si>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</si>
  <si>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</si>
  <si>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</si>
  <si>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</si>
  <si>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</si>
  <si>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</si>
  <si>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</si>
  <si>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</si>
  <si>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</si>
  <si>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</si>
  <si>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</si>
  <si>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</si>
  <si>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</si>
  <si>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</si>
  <si>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</si>
  <si>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</si>
  <si>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</si>
  <si>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</si>
  <si>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</si>
  <si>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</si>
  <si>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</si>
  <si>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</si>
  <si>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</si>
  <si>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</si>
  <si>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</si>
  <si>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</si>
  <si>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</si>
  <si>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</si>
  <si>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</si>
  <si>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</si>
  <si>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</si>
  <si>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</si>
  <si>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</si>
  <si>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</si>
  <si>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</si>
  <si>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</si>
  <si>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</si>
  <si>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</si>
  <si>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</si>
  <si>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</si>
  <si>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</si>
  <si>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</si>
  <si>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</si>
  <si>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</si>
  <si>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</si>
  <si>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</si>
  <si>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</si>
  <si>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</si>
  <si>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</si>
  <si>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</si>
  <si>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</si>
  <si>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</si>
  <si>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</si>
  <si>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</si>
  <si>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</si>
  <si>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</si>
  <si>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</si>
  <si>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</si>
  <si>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</si>
  <si>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</si>
  <si>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</si>
  <si>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</si>
  <si>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</si>
  <si>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</si>
  <si>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</si>
  <si>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</si>
  <si>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</si>
  <si>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</si>
  <si>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</si>
  <si>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</si>
  <si>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</si>
  <si>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</si>
  <si>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</si>
  <si>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</si>
  <si>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</si>
  <si>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</si>
  <si>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</si>
  <si>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</si>
  <si>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</si>
  <si>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</si>
  <si>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</si>
  <si>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</si>
  <si>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</si>
  <si>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</si>
  <si>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</si>
  <si>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</si>
  <si>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</si>
  <si>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</si>
  <si>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</si>
  <si>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</si>
  <si>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</si>
  <si>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</si>
  <si>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</si>
  <si>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</si>
  <si>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</si>
  <si>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</si>
  <si>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</si>
  <si>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</si>
  <si>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</si>
  <si>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</si>
  <si>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</si>
  <si>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</si>
  <si>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</si>
  <si>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</si>
  <si>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</si>
  <si>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</si>
  <si>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</si>
  <si>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</si>
  <si>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</si>
  <si>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</si>
  <si>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</si>
  <si>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</si>
  <si>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</si>
  <si>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</si>
  <si>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</si>
  <si>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</si>
  <si>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</si>
  <si>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</si>
  <si>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</si>
  <si>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</si>
  <si>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</si>
  <si>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</si>
  <si>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</si>
  <si>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</si>
  <si>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</si>
  <si>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</si>
  <si>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</si>
  <si>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</si>
  <si>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</si>
  <si>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</si>
  <si>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</si>
  <si>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</si>
  <si>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</si>
  <si>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</si>
  <si>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</si>
  <si>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</si>
  <si>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</si>
  <si>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</si>
  <si>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</si>
  <si>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</si>
  <si>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</si>
  <si>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</si>
  <si>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</si>
  <si>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</si>
  <si>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</si>
  <si>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</si>
  <si>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</si>
  <si>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</si>
  <si>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</si>
  <si>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</si>
  <si>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</si>
  <si>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</si>
  <si>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</si>
  <si>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</si>
  <si>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</si>
  <si>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</si>
  <si>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</si>
  <si>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</si>
  <si>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</si>
  <si>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</si>
  <si>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</si>
  <si>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</si>
  <si>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</si>
  <si>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</si>
  <si>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</si>
  <si>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</si>
  <si>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</si>
  <si>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</si>
  <si>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</si>
  <si>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</si>
  <si>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</si>
  <si>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</si>
  <si>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</si>
  <si>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</si>
  <si>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</si>
  <si>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</si>
  <si>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</si>
  <si>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</si>
  <si>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</si>
  <si>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</si>
  <si>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</si>
  <si>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</si>
  <si>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</si>
  <si>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</si>
  <si>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</si>
  <si>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</si>
  <si>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</si>
  <si>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</si>
  <si>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</si>
  <si>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</si>
  <si>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</si>
  <si>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</si>
  <si>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</si>
  <si>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</si>
  <si>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</si>
  <si>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</si>
  <si>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</si>
  <si>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</si>
  <si>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</si>
  <si>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</si>
  <si>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</si>
  <si>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</si>
  <si>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</si>
  <si>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</si>
  <si>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</si>
  <si>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</si>
  <si>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</si>
  <si>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</si>
  <si>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</si>
  <si>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</si>
  <si>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</si>
  <si>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</si>
  <si>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</si>
  <si>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</si>
  <si>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</si>
  <si>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</si>
  <si>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</si>
  <si>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</si>
  <si>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</si>
  <si>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</si>
  <si>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</si>
  <si>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</si>
  <si>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</si>
  <si>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</si>
  <si>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</si>
  <si>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</si>
  <si>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</si>
  <si>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</si>
  <si>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</si>
  <si>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</si>
  <si>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</si>
  <si>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</si>
  <si>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</si>
  <si>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</si>
  <si>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</si>
  <si>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</si>
  <si>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</si>
  <si>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</si>
  <si>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</si>
  <si>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</si>
  <si>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</si>
  <si>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</si>
  <si>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</si>
  <si>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</si>
  <si>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</si>
  <si>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</si>
  <si>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</si>
  <si>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</si>
  <si>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</si>
  <si>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</si>
  <si>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</si>
  <si>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</si>
  <si>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</si>
  <si>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</si>
  <si>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</si>
  <si>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</si>
  <si>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</si>
  <si>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</si>
  <si>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</si>
  <si>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</si>
  <si>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</si>
  <si>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</si>
  <si>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</si>
  <si>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</si>
  <si>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</si>
  <si>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</si>
  <si>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</si>
  <si>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</si>
  <si>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</si>
  <si>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</si>
  <si>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</si>
  <si>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</si>
  <si>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</si>
  <si>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</si>
  <si>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</si>
  <si>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</si>
  <si>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</si>
  <si>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</si>
  <si>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</si>
  <si>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</si>
  <si>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</si>
  <si>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</si>
  <si>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</si>
  <si>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</si>
  <si>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</si>
  <si>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</si>
  <si>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</si>
  <si>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</si>
  <si>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</si>
  <si>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</si>
  <si>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</si>
  <si>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</si>
  <si>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</si>
  <si>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</si>
  <si>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</si>
  <si>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</si>
  <si>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</si>
  <si>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</si>
  <si>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</si>
  <si>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</si>
  <si>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</si>
  <si>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</si>
  <si>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</si>
  <si>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</si>
  <si>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</si>
  <si>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</si>
  <si>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</si>
  <si>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</si>
  <si>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</si>
  <si>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</si>
  <si>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</si>
  <si>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</si>
  <si>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</si>
  <si>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</si>
  <si>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</si>
  <si>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</si>
  <si>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</si>
  <si>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</si>
  <si>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</si>
  <si>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</si>
  <si>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</si>
  <si>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</si>
  <si>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</si>
  <si>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</si>
  <si>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</si>
  <si>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</si>
  <si>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</si>
  <si>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</si>
  <si>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</si>
  <si>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</si>
  <si>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</si>
  <si>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</si>
  <si>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</si>
  <si>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</si>
  <si>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</si>
  <si>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</si>
  <si>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</si>
  <si>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</si>
  <si>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</si>
  <si>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</si>
  <si>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</si>
  <si>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</si>
  <si>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</si>
  <si>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</si>
  <si>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</si>
  <si>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</si>
  <si>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</si>
  <si>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</si>
  <si>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</si>
  <si>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</si>
  <si>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</si>
  <si>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</si>
  <si>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</si>
  <si>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</si>
  <si>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</si>
  <si>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</si>
  <si>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</si>
  <si>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</si>
  <si>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</si>
  <si>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</si>
  <si>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</si>
  <si>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</si>
  <si>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</si>
  <si>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</si>
  <si>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</si>
  <si>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</si>
  <si>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</si>
  <si>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</si>
  <si>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</si>
  <si>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</si>
  <si>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</si>
  <si>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</si>
  <si>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</si>
  <si>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</si>
  <si>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</si>
  <si>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</si>
  <si>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</si>
  <si>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</si>
  <si>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</si>
  <si>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</si>
  <si>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</si>
  <si>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</si>
  <si>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</si>
  <si>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</si>
  <si>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</si>
  <si>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</si>
  <si>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</si>
  <si>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</si>
  <si>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</si>
  <si>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</si>
  <si>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</si>
  <si>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</si>
  <si>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</si>
  <si>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</si>
  <si>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</si>
  <si>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</si>
  <si>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</si>
  <si>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</si>
  <si>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</si>
  <si>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</si>
  <si>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</si>
  <si>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</si>
  <si>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</si>
  <si>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</si>
  <si>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</si>
  <si>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</si>
  <si>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</si>
  <si>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</si>
  <si>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</si>
  <si>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</si>
  <si>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</si>
  <si>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</si>
  <si>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</si>
  <si>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</si>
  <si>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</si>
  <si>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</si>
  <si>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</si>
  <si>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</si>
  <si>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</si>
  <si>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</si>
  <si>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</si>
  <si>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</si>
  <si>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</si>
  <si>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</si>
  <si>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</si>
  <si>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</si>
  <si>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</si>
  <si>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</si>
  <si>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</si>
  <si>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</si>
  <si>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</si>
  <si>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</si>
  <si>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</si>
  <si>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</si>
  <si>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</si>
  <si>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</si>
  <si>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</si>
  <si>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</si>
  <si>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</si>
  <si>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</si>
  <si>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</si>
  <si>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</si>
  <si>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</si>
  <si>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</si>
  <si>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</si>
  <si>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</si>
  <si>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</si>
  <si>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</si>
  <si>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</si>
  <si>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</si>
  <si>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</si>
  <si>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</si>
  <si>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</si>
  <si>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</si>
  <si>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</si>
  <si>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</si>
  <si>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</si>
  <si>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</si>
  <si>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</si>
  <si>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</si>
  <si>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</si>
  <si>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</si>
  <si>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</si>
  <si>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</si>
  <si>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</si>
  <si>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</si>
  <si>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</si>
  <si>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</si>
  <si>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</si>
  <si>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</si>
  <si>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</si>
  <si>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</si>
  <si>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</si>
  <si>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</si>
  <si>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</si>
  <si>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</si>
  <si>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</si>
  <si>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</si>
  <si>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</si>
  <si>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</si>
  <si>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</si>
  <si>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</si>
  <si>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</si>
  <si>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</si>
  <si>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</si>
  <si>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</si>
  <si>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</si>
  <si>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</si>
  <si>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</si>
  <si>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</si>
  <si>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</si>
  <si>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</si>
  <si>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</si>
  <si>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</si>
  <si>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</si>
  <si>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</si>
  <si>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</si>
  <si>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</si>
  <si>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</si>
  <si>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</si>
  <si>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</si>
  <si>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</si>
  <si>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</si>
  <si>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</si>
  <si>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</si>
  <si>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</si>
  <si>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</si>
  <si>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</si>
  <si>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</si>
  <si>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</si>
  <si>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</si>
  <si>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</si>
  <si>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</si>
  <si>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</si>
  <si>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</si>
  <si>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</si>
  <si>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</si>
  <si>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</si>
  <si>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</si>
  <si>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</si>
  <si>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</si>
  <si>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</si>
  <si>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</si>
  <si>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</si>
  <si>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</si>
  <si>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</si>
  <si>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</si>
  <si>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</si>
  <si>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</si>
  <si>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</si>
  <si>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</si>
  <si>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</si>
  <si>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</si>
  <si>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</si>
  <si>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</si>
  <si>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</si>
  <si>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</si>
  <si>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</si>
  <si>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</si>
  <si>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</si>
  <si>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</si>
  <si>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</si>
  <si>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</si>
  <si>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</si>
  <si>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</si>
  <si>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</si>
  <si>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</si>
  <si>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</si>
  <si>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</si>
  <si>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</si>
  <si>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</si>
  <si>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</si>
  <si>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</si>
  <si>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</si>
  <si>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</si>
  <si>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</si>
  <si>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</si>
  <si>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</si>
  <si>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</si>
  <si>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</si>
  <si>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</si>
  <si>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</si>
  <si>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</si>
  <si>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</si>
  <si>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</si>
  <si>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</si>
  <si>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</si>
  <si>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</si>
  <si>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</si>
  <si>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</si>
  <si>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</si>
  <si>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</si>
  <si>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</si>
  <si>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</si>
  <si>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</si>
  <si>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</si>
  <si>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</si>
  <si>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</si>
  <si>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</si>
  <si>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</si>
  <si>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</si>
  <si>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</si>
  <si>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</si>
  <si>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</si>
  <si>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</si>
  <si>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</si>
  <si>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</si>
  <si>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</si>
  <si>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</si>
  <si>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</si>
  <si>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</si>
  <si>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</si>
  <si>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</si>
  <si>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</si>
  <si>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</si>
  <si>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</si>
  <si>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</si>
  <si>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</si>
  <si>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</si>
  <si>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</si>
  <si>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</si>
  <si>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</si>
  <si>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</si>
  <si>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</si>
  <si>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</si>
  <si>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</si>
  <si>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</si>
  <si>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</si>
  <si>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</si>
  <si>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</si>
  <si>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</si>
  <si>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</si>
  <si>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</si>
  <si>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</si>
  <si>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</si>
  <si>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</si>
  <si>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</si>
  <si>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</si>
  <si>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</si>
  <si>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</si>
  <si>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</si>
  <si>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</si>
  <si>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</si>
  <si>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</si>
  <si>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</si>
  <si>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</si>
  <si>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</si>
  <si>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</si>
  <si>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</si>
  <si>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</si>
  <si>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</si>
  <si>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</si>
  <si>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</si>
  <si>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</si>
  <si>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</si>
  <si>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</si>
  <si>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</si>
  <si>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</si>
  <si>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</si>
  <si>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</si>
  <si>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</si>
  <si>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</si>
  <si>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</si>
  <si>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</si>
  <si>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</si>
  <si>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</si>
  <si>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</si>
  <si>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</si>
  <si>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</si>
  <si>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</si>
  <si>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</si>
  <si>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</si>
  <si>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</si>
  <si>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</si>
  <si>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</si>
  <si>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</si>
  <si>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</si>
  <si>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</si>
  <si>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</si>
  <si>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</si>
  <si>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</si>
  <si>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</si>
  <si>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</si>
  <si>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</si>
  <si>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</si>
  <si>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</si>
  <si>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</si>
  <si>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</si>
  <si>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</si>
  <si>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</si>
  <si>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</si>
  <si>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</si>
  <si>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</si>
  <si>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</si>
  <si>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</si>
  <si>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</si>
  <si>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</si>
  <si>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</si>
  <si>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</si>
  <si>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</si>
  <si>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</si>
  <si>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</si>
  <si>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</si>
  <si>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</si>
  <si>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</si>
  <si>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</si>
  <si>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</si>
  <si>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</si>
  <si>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</si>
  <si>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</si>
  <si>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</si>
  <si>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</si>
  <si>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</si>
  <si>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</si>
  <si>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</si>
  <si>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</si>
  <si>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</si>
  <si>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</si>
  <si>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</si>
  <si>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</si>
  <si>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</si>
  <si>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</si>
  <si>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</si>
  <si>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</si>
  <si>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</si>
  <si>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</si>
  <si>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</si>
  <si>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</si>
  <si>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</si>
  <si>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</si>
  <si>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</si>
  <si>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</si>
  <si>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</si>
  <si>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</si>
  <si>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</si>
  <si>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</si>
  <si>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</si>
  <si>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</si>
  <si>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</si>
  <si>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</si>
  <si>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</si>
  <si>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</si>
  <si>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</si>
  <si>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</si>
  <si>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</si>
  <si>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</si>
  <si>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</si>
  <si>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</si>
  <si>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</si>
  <si>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</si>
  <si>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</si>
  <si>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</si>
  <si>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</si>
  <si>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</si>
  <si>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</si>
  <si>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</si>
  <si>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</si>
  <si>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</si>
  <si>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</si>
  <si>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</si>
  <si>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</si>
  <si>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</si>
  <si>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</si>
  <si>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</si>
  <si>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</si>
  <si>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</si>
  <si>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</si>
  <si>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</si>
  <si>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</si>
  <si>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</si>
  <si>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</si>
  <si>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</si>
  <si>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</si>
  <si>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</si>
  <si>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</si>
  <si>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</si>
  <si>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</si>
  <si>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</si>
  <si>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</si>
  <si>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</si>
  <si>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</si>
  <si>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</si>
  <si>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</si>
  <si>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</si>
  <si>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</si>
  <si>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</si>
  <si>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</si>
  <si>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</si>
  <si>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</si>
  <si>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</si>
  <si>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</si>
  <si>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</si>
  <si>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</si>
  <si>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</si>
  <si>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</si>
  <si>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</si>
  <si>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</si>
  <si>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</si>
  <si>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</si>
  <si>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</si>
  <si>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</si>
  <si>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</si>
  <si>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</si>
  <si>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</si>
  <si>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</si>
  <si>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</si>
  <si>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</si>
  <si>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</si>
  <si>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</si>
  <si>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</si>
  <si>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</si>
  <si>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</si>
  <si>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</si>
  <si>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</si>
  <si>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</si>
  <si>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</si>
  <si>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</si>
  <si>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</si>
  <si>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</si>
  <si>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</si>
  <si>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</si>
  <si>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</si>
  <si>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</si>
  <si>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</si>
  <si>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</si>
  <si>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</si>
  <si>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</si>
  <si>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</si>
  <si>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</si>
  <si>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</si>
  <si>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</si>
  <si>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</si>
  <si>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</si>
  <si>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</si>
  <si>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</si>
  <si>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</si>
  <si>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</si>
  <si>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</si>
  <si>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</si>
  <si>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</si>
  <si>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</si>
  <si>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</si>
  <si>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</si>
  <si>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</si>
  <si>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</si>
  <si>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</si>
  <si>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</si>
  <si>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</si>
  <si>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</si>
  <si>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</si>
  <si>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</si>
  <si>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</si>
  <si>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</si>
  <si>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</si>
  <si>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</si>
  <si>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</si>
  <si>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</si>
  <si>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</si>
  <si>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</si>
  <si>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</si>
  <si>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</si>
  <si>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</si>
  <si>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</si>
  <si>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</si>
  <si>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</si>
  <si>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</si>
  <si>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</si>
  <si>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</si>
  <si>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</si>
  <si>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</si>
  <si>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</si>
  <si>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</si>
  <si>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</si>
  <si>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</si>
  <si>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</si>
  <si>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</si>
  <si>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</si>
  <si>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</si>
  <si>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</si>
  <si>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</si>
  <si>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</si>
  <si>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</si>
  <si>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</si>
  <si>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</si>
  <si>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</si>
  <si>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</si>
  <si>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</si>
  <si>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</si>
  <si>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</si>
  <si>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</si>
  <si>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</si>
  <si>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</si>
  <si>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</si>
  <si>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</si>
  <si>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</si>
  <si>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</si>
  <si>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</si>
  <si>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</si>
  <si>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</si>
  <si>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</si>
  <si>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</si>
  <si>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</si>
  <si>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</si>
  <si>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</si>
  <si>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</si>
  <si>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</si>
  <si>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</si>
  <si>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</si>
  <si>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</si>
  <si>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</si>
  <si>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</si>
  <si>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</si>
  <si>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</si>
  <si>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</si>
  <si>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</si>
  <si>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</si>
  <si>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</si>
  <si>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</si>
  <si>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</si>
  <si>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</si>
  <si>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</si>
  <si>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</si>
  <si>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</si>
  <si>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</si>
  <si>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</si>
  <si>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</si>
  <si>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</si>
  <si>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</si>
  <si>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</si>
  <si>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</si>
  <si>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</si>
  <si>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</si>
  <si>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</si>
  <si>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</si>
  <si>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</si>
  <si>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</si>
  <si>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</si>
  <si>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</si>
  <si>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</si>
  <si>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</si>
  <si>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</si>
  <si>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</si>
  <si>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</si>
  <si>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</si>
  <si>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</si>
  <si>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</si>
  <si>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</si>
  <si>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</si>
  <si>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</si>
  <si>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</si>
  <si>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</si>
  <si>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</si>
  <si>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</si>
  <si>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</si>
  <si>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</si>
  <si>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</si>
  <si>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</si>
  <si>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</si>
  <si>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</si>
  <si>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</si>
  <si>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</si>
  <si>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</si>
  <si>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</si>
  <si>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</si>
  <si>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</si>
  <si>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</si>
  <si>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</si>
  <si>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</si>
  <si>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</si>
  <si>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</si>
  <si>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</si>
  <si>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</si>
  <si>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</si>
  <si>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</si>
  <si>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</si>
  <si>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</si>
  <si>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</si>
  <si>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</si>
  <si>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</si>
  <si>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</si>
  <si>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</si>
  <si>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</si>
  <si>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</si>
  <si>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</si>
  <si>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</si>
  <si>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</si>
  <si>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</si>
  <si>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</si>
  <si>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</si>
  <si>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</si>
  <si>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</si>
  <si>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</si>
  <si>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</si>
  <si>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</si>
  <si>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</si>
  <si>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</si>
  <si>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</si>
  <si>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</si>
  <si>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</si>
  <si>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</si>
  <si>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</si>
  <si>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</si>
  <si>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</si>
  <si>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</si>
  <si>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</si>
  <si>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</si>
  <si>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</si>
  <si>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</si>
  <si>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</si>
  <si>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</si>
  <si>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</si>
  <si>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</si>
  <si>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</si>
  <si>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</si>
  <si>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</si>
  <si>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</si>
  <si>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</si>
  <si>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</si>
  <si>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</si>
  <si>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</si>
  <si>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</si>
  <si>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</si>
  <si>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</si>
  <si>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</si>
  <si>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</si>
  <si>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</si>
  <si>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</si>
  <si>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</si>
  <si>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</si>
  <si>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</si>
  <si>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</si>
  <si>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</si>
  <si>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</si>
  <si>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</si>
  <si>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</si>
  <si>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</si>
  <si>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</si>
  <si>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</si>
  <si>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</si>
  <si>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</si>
  <si>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</si>
  <si>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</si>
  <si>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</si>
  <si>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</si>
  <si>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</si>
  <si>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</si>
  <si>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</si>
  <si>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</si>
  <si>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</si>
  <si>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</si>
  <si>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</si>
  <si>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</si>
  <si>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</si>
  <si>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</si>
  <si>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</si>
  <si>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</si>
  <si>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</si>
  <si>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</si>
  <si>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</si>
  <si>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</si>
  <si>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</si>
  <si>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</si>
  <si>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</si>
  <si>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</si>
  <si>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</si>
  <si>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</si>
  <si>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</si>
  <si>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</si>
  <si>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</si>
  <si>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</si>
  <si>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</si>
  <si>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</si>
  <si>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</si>
  <si>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</si>
  <si>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</si>
  <si>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</si>
  <si>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</si>
  <si>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</si>
  <si>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</si>
  <si>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</si>
  <si>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</si>
  <si>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</si>
  <si>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</si>
  <si>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</si>
  <si>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</si>
  <si>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</si>
  <si>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</si>
  <si>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</si>
  <si>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</si>
  <si>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</si>
  <si>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</si>
  <si>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</si>
  <si>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</si>
  <si>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</si>
  <si>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</si>
  <si>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</si>
  <si>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</si>
  <si>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</si>
  <si>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</si>
  <si>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</si>
  <si>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</si>
  <si>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</si>
  <si>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</si>
  <si>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</si>
  <si>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</si>
  <si>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</si>
  <si>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</si>
  <si>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</si>
  <si>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</si>
  <si>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</si>
  <si>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</si>
  <si>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</si>
  <si>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</si>
  <si>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</si>
  <si>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</si>
  <si>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</si>
  <si>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</si>
  <si>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</si>
  <si>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</si>
  <si>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</si>
  <si>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</si>
  <si>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</si>
  <si>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</si>
  <si>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</si>
  <si>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</si>
  <si>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</si>
  <si>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</si>
  <si>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</si>
  <si>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</si>
  <si>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</si>
  <si>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</si>
  <si>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</si>
  <si>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</si>
  <si>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</si>
  <si>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</si>
  <si>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</si>
  <si>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</si>
  <si>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</si>
  <si>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</si>
  <si>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</si>
  <si>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</si>
  <si>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</si>
  <si>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</si>
  <si>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</si>
  <si>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</si>
  <si>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</si>
  <si>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</si>
  <si>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</si>
  <si>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</si>
  <si>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</si>
  <si>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</si>
  <si>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</si>
  <si>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</si>
  <si>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</si>
  <si>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</si>
  <si>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</si>
  <si>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</si>
  <si>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</si>
  <si>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</si>
  <si>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</si>
  <si>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</si>
  <si>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</si>
  <si>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</si>
  <si>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</si>
  <si>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</si>
  <si>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</si>
  <si>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</si>
  <si>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</si>
  <si>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</si>
  <si>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</si>
  <si>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</si>
  <si>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</si>
  <si>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</si>
  <si>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</si>
  <si>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</si>
  <si>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</si>
  <si>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</si>
  <si>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</si>
  <si>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</si>
  <si>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</si>
  <si>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</si>
  <si>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</si>
  <si>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</si>
  <si>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</si>
  <si>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</si>
  <si>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</si>
  <si>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</si>
  <si>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</si>
  <si>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</si>
  <si>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</si>
  <si>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</si>
  <si>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</si>
  <si>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</si>
  <si>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</si>
  <si>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</si>
  <si>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</si>
  <si>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</si>
  <si>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</si>
  <si>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</si>
  <si>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</si>
  <si>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</si>
  <si>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</si>
  <si>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</si>
  <si>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</si>
  <si>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</si>
  <si>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</si>
  <si>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</si>
  <si>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</si>
  <si>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</si>
  <si>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</si>
  <si>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</si>
  <si>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</si>
  <si>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</si>
  <si>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</si>
  <si>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</si>
  <si>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</si>
  <si>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</si>
  <si>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</si>
  <si>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</si>
  <si>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</si>
  <si>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</si>
  <si>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</si>
  <si>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</si>
  <si>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</si>
  <si>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</si>
  <si>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</si>
  <si>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</si>
  <si>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</si>
  <si>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</si>
  <si>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</si>
  <si>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</si>
  <si>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</si>
  <si>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</si>
  <si>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</si>
  <si>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</si>
  <si>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</si>
  <si>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</si>
  <si>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</si>
  <si>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</si>
  <si>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</si>
  <si>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</si>
  <si>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</si>
  <si>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</si>
  <si>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</si>
  <si>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</si>
  <si>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</si>
  <si>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</si>
  <si>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</si>
  <si>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</si>
  <si>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</si>
  <si>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</si>
  <si>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</si>
  <si>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</si>
  <si>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</si>
  <si>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</si>
  <si>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</si>
  <si>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</si>
  <si>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</si>
  <si>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</si>
  <si>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</si>
  <si>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</si>
  <si>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</si>
  <si>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</si>
  <si>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</si>
  <si>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</si>
  <si>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</si>
  <si>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</si>
  <si>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</si>
  <si>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</si>
  <si>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</si>
  <si>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</si>
  <si>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</si>
  <si>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</si>
  <si>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</si>
  <si>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</si>
  <si>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</si>
  <si>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</si>
  <si>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</si>
  <si>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</si>
  <si>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</si>
  <si>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</si>
  <si>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</si>
  <si>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</si>
  <si>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</si>
  <si>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</si>
  <si>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</si>
  <si>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</si>
  <si>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</si>
  <si>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</si>
  <si>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</si>
  <si>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</si>
  <si>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</si>
  <si>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</si>
  <si>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</si>
  <si>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</si>
  <si>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</si>
  <si>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</si>
  <si>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</si>
  <si>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</si>
  <si>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</si>
  <si>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</si>
  <si>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</si>
  <si>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</si>
  <si>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</si>
  <si>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</si>
  <si>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</si>
  <si>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</si>
  <si>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</si>
  <si>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</si>
  <si>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</si>
  <si>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</si>
  <si>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</si>
  <si>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</si>
  <si>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</si>
  <si>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</si>
  <si>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</si>
  <si>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</si>
  <si>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</si>
  <si>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</si>
  <si>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</si>
  <si>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</si>
  <si>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</si>
  <si>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</si>
  <si>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</si>
  <si>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</si>
  <si>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</si>
  <si>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</si>
  <si>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</si>
  <si>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</si>
  <si>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</si>
  <si>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</si>
  <si>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</si>
  <si>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</si>
  <si>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</si>
  <si>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</si>
  <si>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</si>
  <si>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</si>
  <si>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</si>
  <si>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</si>
  <si>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</si>
  <si>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</si>
  <si>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</si>
  <si>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</si>
  <si>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</si>
  <si>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</si>
  <si>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</si>
  <si>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</si>
  <si>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</si>
  <si>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</si>
  <si>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</si>
  <si>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</si>
  <si>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</si>
  <si>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</si>
  <si>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</si>
  <si>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</si>
  <si>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</si>
  <si>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</si>
  <si>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</si>
  <si>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</si>
  <si>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</si>
  <si>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</si>
  <si>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</si>
  <si>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</si>
  <si>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</si>
  <si>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</si>
  <si>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</si>
  <si>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</si>
  <si>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</si>
  <si>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</si>
  <si>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</si>
  <si>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</si>
  <si>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</si>
  <si>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</si>
  <si>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</si>
  <si>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</si>
  <si>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</si>
  <si>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</si>
  <si>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</si>
  <si>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</si>
  <si>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</si>
  <si>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</si>
  <si>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</si>
  <si>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</si>
  <si>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</si>
  <si>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</si>
  <si>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</si>
  <si>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</si>
  <si>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</si>
  <si>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</si>
  <si>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</si>
  <si>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</si>
  <si>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</si>
  <si>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</si>
  <si>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</si>
  <si>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</si>
  <si>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</si>
  <si>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</si>
  <si>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</si>
  <si>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</si>
  <si>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</si>
  <si>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</si>
  <si>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</si>
  <si>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</si>
  <si>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</si>
  <si>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</si>
  <si>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</si>
  <si>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</si>
  <si>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</si>
  <si>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</si>
  <si>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</si>
  <si>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</si>
  <si>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</si>
  <si>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</si>
  <si>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</si>
  <si>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</si>
  <si>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</si>
  <si>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</si>
  <si>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</si>
  <si>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</si>
  <si>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</si>
  <si>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</si>
  <si>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</si>
  <si>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</si>
  <si>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</si>
  <si>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</si>
  <si>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</si>
  <si>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</si>
  <si>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</si>
  <si>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</si>
  <si>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</si>
  <si>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</si>
  <si>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</si>
  <si>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</si>
  <si>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</si>
  <si>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</si>
  <si>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</si>
  <si>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</si>
  <si>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</si>
  <si>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</si>
  <si>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</si>
  <si>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</si>
  <si>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</si>
  <si>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</si>
  <si>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</si>
  <si>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</si>
  <si>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</si>
  <si>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</si>
  <si>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</si>
  <si>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</si>
  <si>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</si>
  <si>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</si>
  <si>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</si>
  <si>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</si>
  <si>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</si>
  <si>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</si>
  <si>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</si>
  <si>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</si>
  <si>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</si>
  <si>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</si>
  <si>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</si>
  <si>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</si>
  <si>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</si>
  <si>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</si>
  <si>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</si>
  <si>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</si>
  <si>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</si>
  <si>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</si>
  <si>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</si>
  <si>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</si>
  <si>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</si>
  <si>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</si>
  <si>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</si>
  <si>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</si>
  <si>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</si>
  <si>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</si>
  <si>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</si>
  <si>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</si>
  <si>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</si>
  <si>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</si>
  <si>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</si>
  <si>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</si>
  <si>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</si>
  <si>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</si>
  <si>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</si>
  <si>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</si>
  <si>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</si>
  <si>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</si>
  <si>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</si>
  <si>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</si>
  <si>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</si>
  <si>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</si>
  <si>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</si>
  <si>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</si>
  <si>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</si>
  <si>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</si>
  <si>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</si>
  <si>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</si>
  <si>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</si>
  <si>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</si>
  <si>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</si>
  <si>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</si>
  <si>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</si>
  <si>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</si>
  <si>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</si>
  <si>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</si>
  <si>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</si>
  <si>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</si>
  <si>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</si>
  <si>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</si>
  <si>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</si>
  <si>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</si>
  <si>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</si>
  <si>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</si>
  <si>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</si>
  <si>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</si>
  <si>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</si>
  <si>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</si>
  <si>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</si>
  <si>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</si>
  <si>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</si>
  <si>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</si>
  <si>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</si>
  <si>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</si>
  <si>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</si>
  <si>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</si>
  <si>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</si>
  <si>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</si>
  <si>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</si>
  <si>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</si>
  <si>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</si>
  <si>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</si>
  <si>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</si>
  <si>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</si>
  <si>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</si>
  <si>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</si>
  <si>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</si>
  <si>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</si>
  <si>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</si>
  <si>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</si>
  <si>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</si>
  <si>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</si>
  <si>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</si>
  <si>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</si>
  <si>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</si>
  <si>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</si>
  <si>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</si>
  <si>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</si>
  <si>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</si>
  <si>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</si>
  <si>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</si>
  <si>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</si>
  <si>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</si>
  <si>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</si>
  <si>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</si>
  <si>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</si>
  <si>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</si>
  <si>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</si>
  <si>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</si>
  <si>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</si>
  <si>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</si>
  <si>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</si>
  <si>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</si>
  <si>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</si>
  <si>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</si>
  <si>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</si>
  <si>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</si>
  <si>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</si>
  <si>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</si>
  <si>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</si>
  <si>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</si>
  <si>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</si>
  <si>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</si>
  <si>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</si>
  <si>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</si>
  <si>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</si>
  <si>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</si>
  <si>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</si>
  <si>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</si>
  <si>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</si>
  <si>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</si>
  <si>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</si>
  <si>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</si>
  <si>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</si>
  <si>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</si>
  <si>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</si>
  <si>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</si>
  <si>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</si>
  <si>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</si>
  <si>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</si>
  <si>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</si>
  <si>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</si>
  <si>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</si>
  <si>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</si>
  <si>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</si>
  <si>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</si>
  <si>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</si>
  <si>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</si>
  <si>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</si>
  <si>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</si>
  <si>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</si>
  <si>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</si>
  <si>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</si>
  <si>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</si>
  <si>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</si>
  <si>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</si>
  <si>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</si>
  <si>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</si>
  <si>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</si>
  <si>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</si>
  <si>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</si>
  <si>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</si>
  <si>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</si>
  <si>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</si>
  <si>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</si>
  <si>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</si>
  <si>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</si>
  <si>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</si>
  <si>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</si>
  <si>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</si>
  <si>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</si>
  <si>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</si>
  <si>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</si>
  <si>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</si>
  <si>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</si>
  <si>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</si>
  <si>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</si>
  <si>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</si>
  <si>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</si>
  <si>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</si>
  <si>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</si>
  <si>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</si>
  <si>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</si>
  <si>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</si>
  <si>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</si>
  <si>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</si>
  <si>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</si>
  <si>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</si>
  <si>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</si>
  <si>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</si>
  <si>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</si>
  <si>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</si>
  <si>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</si>
  <si>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</si>
  <si>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</si>
  <si>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</si>
  <si>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</si>
  <si>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</si>
  <si>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</si>
  <si>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</si>
  <si>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</si>
  <si>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</si>
  <si>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</si>
  <si>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</si>
  <si>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</si>
  <si>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</si>
  <si>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</si>
  <si>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</si>
  <si>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</si>
  <si>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</si>
  <si>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</si>
  <si>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</si>
  <si>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</si>
  <si>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</si>
  <si>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</si>
  <si>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</si>
  <si>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</si>
  <si>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</si>
  <si>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</si>
  <si>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</si>
  <si>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</si>
  <si>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</si>
  <si>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</si>
  <si>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</si>
  <si>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</si>
  <si>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</si>
  <si>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</si>
  <si>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</si>
  <si>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</si>
  <si>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</si>
  <si>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</si>
  <si>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</si>
  <si>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</si>
  <si>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</si>
  <si>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</si>
  <si>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</si>
  <si>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</si>
  <si>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</si>
  <si>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</si>
  <si>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</si>
  <si>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</si>
  <si>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</si>
  <si>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</si>
  <si>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</si>
  <si>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</si>
  <si>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</si>
  <si>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</si>
  <si>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</si>
  <si>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</si>
  <si>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</si>
  <si>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</si>
  <si>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</si>
  <si>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</si>
  <si>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</si>
  <si>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</si>
  <si>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</si>
  <si>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</si>
  <si>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</si>
  <si>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</si>
  <si>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</si>
  <si>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</si>
  <si>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</si>
  <si>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</si>
  <si>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</si>
  <si>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</si>
  <si>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</si>
  <si>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</si>
  <si>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</si>
  <si>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</si>
  <si>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</si>
  <si>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</si>
  <si>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</si>
  <si>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</si>
  <si>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</si>
  <si>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</si>
  <si>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</si>
  <si>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</si>
  <si>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</si>
  <si>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</si>
  <si>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</si>
  <si>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</si>
  <si>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</si>
  <si>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</si>
  <si>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</si>
  <si>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</si>
  <si>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</si>
  <si>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</si>
  <si>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</si>
  <si>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</si>
  <si>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</si>
  <si>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</si>
  <si>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</si>
  <si>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</si>
  <si>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</si>
  <si>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</si>
  <si>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</si>
  <si>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</si>
  <si>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</si>
  <si>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</si>
  <si>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</si>
  <si>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</si>
  <si>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</si>
  <si>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</si>
  <si>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</si>
  <si>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</si>
  <si>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</si>
  <si>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</si>
  <si>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</si>
  <si>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</si>
  <si>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</si>
  <si>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</si>
  <si>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</si>
  <si>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</si>
  <si>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</si>
  <si>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</si>
  <si>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</si>
  <si>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</si>
  <si>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</si>
  <si>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</si>
  <si>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</si>
  <si>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</si>
  <si>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</si>
  <si>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</si>
  <si>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</si>
  <si>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</si>
  <si>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</si>
  <si>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</si>
  <si>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</si>
  <si>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</si>
  <si>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</si>
  <si>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</si>
  <si>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</si>
  <si>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</si>
  <si>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</si>
  <si>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</si>
  <si>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</si>
  <si>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</si>
  <si>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</si>
  <si>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</si>
  <si>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</si>
  <si>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</si>
  <si>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</si>
  <si>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</si>
  <si>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</si>
  <si>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</si>
  <si>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</si>
  <si>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</si>
  <si>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</si>
  <si>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</si>
  <si>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</si>
  <si>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</si>
  <si>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</si>
  <si>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</si>
  <si>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</si>
  <si>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</si>
  <si>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</si>
  <si>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</si>
  <si>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</si>
  <si>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</si>
  <si>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</si>
  <si>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</si>
  <si>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</si>
  <si>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</si>
  <si>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</si>
  <si>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</si>
  <si>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</si>
  <si>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</si>
  <si>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</si>
  <si>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</si>
  <si>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</si>
  <si>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</si>
  <si>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</si>
  <si>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</si>
  <si>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</si>
  <si>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</si>
  <si>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</si>
  <si>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</si>
  <si>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</si>
  <si>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</si>
  <si>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</si>
  <si>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</si>
  <si>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</si>
  <si>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</si>
  <si>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</si>
  <si>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</si>
  <si>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</si>
  <si>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</si>
  <si>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</si>
  <si>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</si>
  <si>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</si>
  <si>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</si>
  <si>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</si>
  <si>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</si>
  <si>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</si>
  <si>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</si>
  <si>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</si>
  <si>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</si>
  <si>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</si>
  <si>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</si>
  <si>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</si>
  <si>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</si>
  <si>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</si>
  <si>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</si>
  <si>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</si>
  <si>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</si>
  <si>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</si>
  <si>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</si>
  <si>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</si>
  <si>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</si>
  <si>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</si>
  <si>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</si>
  <si>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</si>
  <si>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</si>
  <si>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</si>
  <si>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</si>
  <si>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</si>
  <si>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</si>
  <si>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</si>
  <si>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</si>
  <si>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</si>
  <si>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</si>
  <si>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</si>
  <si>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</si>
  <si>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</si>
  <si>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</si>
  <si>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</si>
  <si>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</si>
  <si>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</si>
  <si>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</si>
  <si>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</si>
  <si>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</si>
  <si>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</si>
  <si>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</si>
  <si>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</si>
  <si>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</si>
  <si>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</si>
  <si>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</si>
  <si>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</si>
  <si>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</si>
  <si>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</si>
  <si>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</si>
  <si>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</si>
  <si>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</si>
  <si>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</si>
  <si>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</si>
  <si>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</si>
  <si>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</si>
  <si>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</si>
  <si>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</si>
  <si>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</si>
  <si>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</si>
  <si>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</si>
  <si>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</si>
  <si>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</si>
  <si>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</si>
  <si>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</si>
  <si>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</si>
  <si>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</si>
  <si>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</si>
  <si>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</si>
  <si>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</si>
  <si>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</si>
  <si>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</si>
  <si>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</si>
  <si>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</si>
  <si>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</si>
  <si>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</si>
  <si>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</si>
  <si>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</si>
  <si>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</si>
  <si>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</si>
  <si>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</si>
  <si>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</si>
  <si>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</si>
  <si>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</si>
  <si>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</si>
  <si>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</si>
  <si>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</si>
  <si>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</si>
  <si>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</si>
  <si>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</si>
  <si>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</si>
  <si>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</si>
  <si>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</si>
  <si>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</si>
  <si>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</si>
  <si>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</si>
  <si>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</si>
  <si>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</si>
  <si>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</si>
  <si>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</si>
  <si>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</si>
  <si>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</si>
  <si>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</si>
  <si>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</si>
  <si>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</si>
  <si>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</si>
  <si>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</si>
  <si>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</si>
  <si>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</si>
  <si>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</si>
  <si>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</si>
  <si>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</si>
  <si>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</si>
  <si>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</si>
  <si>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</si>
  <si>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</si>
  <si>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</si>
  <si>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</si>
  <si>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</si>
  <si>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</si>
  <si>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</si>
  <si>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</si>
  <si>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</si>
  <si>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</si>
  <si>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</si>
  <si>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</si>
  <si>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</si>
  <si>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</si>
  <si>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</si>
  <si>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</si>
  <si>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</si>
  <si>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</si>
  <si>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</si>
  <si>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</si>
  <si>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</si>
  <si>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</si>
  <si>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</si>
  <si>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</si>
  <si>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</si>
  <si>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</si>
  <si>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</si>
  <si>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</si>
  <si>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</si>
  <si>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</si>
  <si>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</si>
  <si>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</si>
  <si>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</si>
  <si>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</si>
  <si>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</si>
  <si>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</si>
  <si>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</si>
  <si>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</si>
  <si>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</si>
  <si>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</si>
  <si>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</si>
  <si>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</si>
  <si>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</si>
  <si>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</si>
  <si>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</si>
  <si>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</si>
  <si>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</si>
  <si>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</si>
  <si>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</si>
  <si>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</si>
  <si>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</si>
  <si>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</si>
  <si>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</si>
  <si>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</si>
  <si>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</si>
  <si>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</si>
  <si>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</si>
  <si>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</si>
  <si>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</si>
  <si>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</si>
  <si>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</si>
  <si>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</si>
  <si>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</si>
  <si>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</si>
  <si>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</si>
  <si>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</si>
  <si>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</si>
  <si>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</si>
  <si>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</si>
  <si>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</si>
  <si>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</si>
  <si>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</si>
  <si>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</si>
  <si>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</si>
  <si>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</si>
  <si>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</si>
  <si>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</si>
  <si>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</si>
  <si>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</si>
  <si>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</si>
  <si>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</si>
  <si>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</si>
  <si>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</si>
  <si>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</si>
  <si>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</si>
  <si>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</si>
  <si>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</si>
  <si>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</si>
  <si>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</si>
  <si>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</si>
  <si>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</si>
  <si>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</si>
  <si>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</si>
  <si>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</si>
  <si>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</si>
  <si>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</si>
  <si>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</si>
  <si>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</si>
  <si>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</si>
  <si>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</si>
  <si>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</si>
  <si>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</si>
  <si>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</si>
  <si>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</si>
  <si>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</si>
  <si>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</si>
  <si>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</si>
  <si>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</si>
  <si>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</si>
  <si>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</si>
  <si>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</si>
  <si>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</si>
  <si>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</si>
  <si>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</si>
  <si>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</si>
  <si>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</si>
  <si>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</si>
  <si>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</si>
  <si>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</si>
  <si>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</si>
  <si>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</si>
  <si>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</si>
  <si>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</si>
  <si>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</si>
  <si>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</si>
  <si>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</si>
  <si>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</si>
  <si>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</si>
  <si>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</si>
  <si>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</si>
  <si>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</si>
  <si>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</si>
  <si>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</si>
  <si>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</si>
  <si>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</si>
  <si>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</si>
  <si>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</si>
  <si>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</si>
  <si>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</si>
  <si>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</si>
  <si>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</si>
  <si>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</si>
  <si>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</si>
  <si>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</si>
  <si>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</si>
  <si>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</si>
  <si>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</si>
  <si>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</si>
  <si>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</si>
  <si>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</si>
  <si>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</si>
  <si>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</si>
  <si>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</si>
  <si>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</si>
  <si>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</si>
  <si>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</si>
  <si>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</si>
  <si>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</si>
  <si>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</si>
  <si>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</si>
  <si>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</si>
  <si>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</si>
  <si>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</si>
  <si>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</si>
  <si>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</si>
  <si>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</si>
  <si>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</si>
  <si>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</si>
  <si>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</si>
  <si>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</si>
  <si>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</si>
  <si>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</si>
  <si>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</si>
  <si>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</si>
  <si>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</si>
  <si>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</si>
  <si>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</si>
  <si>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</si>
  <si>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</si>
  <si>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</si>
  <si>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</si>
  <si>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</si>
  <si>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</si>
  <si>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</si>
  <si>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</si>
  <si>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</si>
  <si>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</si>
  <si>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</si>
  <si>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</si>
  <si>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</si>
  <si>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</si>
  <si>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</si>
  <si>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</si>
  <si>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</si>
  <si>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</si>
  <si>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</si>
  <si>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</si>
  <si>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</si>
  <si>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</si>
  <si>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</si>
  <si>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</si>
  <si>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</si>
  <si>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</si>
  <si>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</si>
  <si>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</si>
  <si>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</si>
  <si>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</si>
  <si>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</si>
  <si>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</si>
  <si>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</si>
  <si>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</si>
  <si>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</si>
  <si>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</si>
  <si>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</si>
  <si>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</si>
  <si>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</si>
  <si>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</si>
  <si>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</si>
  <si>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</si>
  <si>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</si>
  <si>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</si>
  <si>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</si>
  <si>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</si>
  <si>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</si>
  <si>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</si>
  <si>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</si>
  <si>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</si>
  <si>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</si>
  <si>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</si>
  <si>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</si>
  <si>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</si>
  <si>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</si>
  <si>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</si>
  <si>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</si>
  <si>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</si>
  <si>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</si>
  <si>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</si>
  <si>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</si>
  <si>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</si>
  <si>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</si>
  <si>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</si>
  <si>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</si>
  <si>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</si>
  <si>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</si>
  <si>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</si>
  <si>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</si>
  <si>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</si>
  <si>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</si>
  <si>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</si>
  <si>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</si>
  <si>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</si>
  <si>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</si>
  <si>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</si>
  <si>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</si>
  <si>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</si>
  <si>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</si>
  <si>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</si>
  <si>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</si>
  <si>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</si>
  <si>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</si>
  <si>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</si>
  <si>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</si>
  <si>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</si>
  <si>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</si>
  <si>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</si>
  <si>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</si>
  <si>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</si>
  <si>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</si>
  <si>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</si>
  <si>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</si>
  <si>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</si>
  <si>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</si>
  <si>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</si>
  <si>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</si>
  <si>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</si>
  <si>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</si>
  <si>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</si>
  <si>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</si>
  <si>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</si>
  <si>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</si>
  <si>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</si>
  <si>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</si>
  <si>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</si>
  <si>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</si>
  <si>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</si>
  <si>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</si>
  <si>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</si>
  <si>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</si>
  <si>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</si>
  <si>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</si>
  <si>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</si>
  <si>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</si>
  <si>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</si>
  <si>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</si>
  <si>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</si>
  <si>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</si>
  <si>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</si>
  <si>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</si>
  <si>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</si>
  <si>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</si>
  <si>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</si>
  <si>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</si>
  <si>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</si>
  <si>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</si>
  <si>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</si>
  <si>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</si>
  <si>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</si>
  <si>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</si>
  <si>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</si>
  <si>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</si>
  <si>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</si>
  <si>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</si>
  <si>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</si>
  <si>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</si>
  <si>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</si>
  <si>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</si>
  <si>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</si>
  <si>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</si>
  <si>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</si>
  <si>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</si>
  <si>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</si>
  <si>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</si>
  <si>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</si>
  <si>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</si>
  <si>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</si>
  <si>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</si>
  <si>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</si>
  <si>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</si>
  <si>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</si>
  <si>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</si>
  <si>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</si>
  <si>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</si>
  <si>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</si>
  <si>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</si>
  <si>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</si>
  <si>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</si>
  <si>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</si>
  <si>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</si>
  <si>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</si>
  <si>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</si>
  <si>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</si>
  <si>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</si>
  <si>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</si>
  <si>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</si>
  <si>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</si>
  <si>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</si>
  <si>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</si>
  <si>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</si>
  <si>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</si>
  <si>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</si>
  <si>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</si>
  <si>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</si>
  <si>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</si>
  <si>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</si>
  <si>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</si>
  <si>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</si>
  <si>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</si>
  <si>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</si>
  <si>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</si>
  <si>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</si>
  <si>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</si>
  <si>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</si>
  <si>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</si>
  <si>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</si>
  <si>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</si>
  <si>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</si>
  <si>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</si>
  <si>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</si>
  <si>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</si>
  <si>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</si>
  <si>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</si>
  <si>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</si>
  <si>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</si>
  <si>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</si>
  <si>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</si>
  <si>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</si>
  <si>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</si>
  <si>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</si>
  <si>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</si>
  <si>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</si>
  <si>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</si>
  <si>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</si>
  <si>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</si>
  <si>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</si>
  <si>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</si>
  <si>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</si>
  <si>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</si>
  <si>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</si>
  <si>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</si>
  <si>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</si>
  <si>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</si>
  <si>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</si>
  <si>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</si>
  <si>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</si>
  <si>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</si>
  <si>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</si>
  <si>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</si>
  <si>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</si>
  <si>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</si>
  <si>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</si>
  <si>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</si>
  <si>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</si>
  <si>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</si>
  <si>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</si>
  <si>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</si>
  <si>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</si>
  <si>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</si>
  <si>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</si>
  <si>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</si>
  <si>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</si>
  <si>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</si>
  <si>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</si>
  <si>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</si>
  <si>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</si>
  <si>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</si>
  <si>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</si>
  <si>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</si>
  <si>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</si>
  <si>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</si>
  <si>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</si>
  <si>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</si>
  <si>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</si>
  <si>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</si>
  <si>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</si>
  <si>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</si>
  <si>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</si>
  <si>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</si>
  <si>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</si>
  <si>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</si>
  <si>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</si>
  <si>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</si>
  <si>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</si>
  <si>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</si>
  <si>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</si>
  <si>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</si>
  <si>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</si>
  <si>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</si>
  <si>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</si>
  <si>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</si>
  <si>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</si>
  <si>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</si>
  <si>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</si>
  <si>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</si>
  <si>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</si>
  <si>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</si>
  <si>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</si>
  <si>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</si>
  <si>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</si>
  <si>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</si>
  <si>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</si>
  <si>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</si>
  <si>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</si>
  <si>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</si>
  <si>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</si>
  <si>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</si>
  <si>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</si>
  <si>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</si>
  <si>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</si>
  <si>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</si>
  <si>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</si>
  <si>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</si>
  <si>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</si>
  <si>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</si>
  <si>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</si>
  <si>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</si>
  <si>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</si>
  <si>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</si>
  <si>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</si>
  <si>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</si>
  <si>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</si>
  <si>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</si>
  <si>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</si>
  <si>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</si>
  <si>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</si>
  <si>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</si>
  <si>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</si>
  <si>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</si>
  <si>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</si>
  <si>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</si>
  <si>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</si>
  <si>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</si>
  <si>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</si>
  <si>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</si>
  <si>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</si>
  <si>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</si>
  <si>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</si>
  <si>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</si>
  <si>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</si>
  <si>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</si>
  <si>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</si>
  <si>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</si>
  <si>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</si>
  <si>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</si>
  <si>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</si>
  <si>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</si>
  <si>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</si>
  <si>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</si>
  <si>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</si>
  <si>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</si>
  <si>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</si>
  <si>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</si>
  <si>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</si>
  <si>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</si>
  <si>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</si>
  <si>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</si>
  <si>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</si>
  <si>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</si>
  <si>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</si>
  <si>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</si>
  <si>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</si>
  <si>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</si>
  <si>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</si>
  <si>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</si>
  <si>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</si>
  <si>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</si>
  <si>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</si>
  <si>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</si>
  <si>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</si>
  <si>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</si>
  <si>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</si>
  <si>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</si>
  <si>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</si>
  <si>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</si>
  <si>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</si>
  <si>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</si>
  <si>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</si>
  <si>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</si>
  <si>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</si>
  <si>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</si>
  <si>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</si>
  <si>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</si>
  <si>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</si>
  <si>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</si>
  <si>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</si>
  <si>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</si>
  <si>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</si>
  <si>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</si>
  <si>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</si>
  <si>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</si>
  <si>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</si>
  <si>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</si>
  <si>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</si>
  <si>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</si>
  <si>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</si>
  <si>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</si>
  <si>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</si>
  <si>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</si>
  <si>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</si>
  <si>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</si>
  <si>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</si>
  <si>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</si>
  <si>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</si>
  <si>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</si>
  <si>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</si>
  <si>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</si>
  <si>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</si>
  <si>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</si>
  <si>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</si>
  <si>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</si>
  <si>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</si>
  <si>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</si>
  <si>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</si>
  <si>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</si>
  <si>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</si>
  <si>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</si>
  <si>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</si>
  <si>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</si>
  <si>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</si>
  <si>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</si>
  <si>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</si>
  <si>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</si>
  <si>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</si>
  <si>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</si>
  <si>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</si>
  <si>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</si>
  <si>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</si>
  <si>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</si>
  <si>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</si>
  <si>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</si>
  <si>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</si>
  <si>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</si>
  <si>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</si>
  <si>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</si>
  <si>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</si>
  <si>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</si>
  <si>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</si>
  <si>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</si>
  <si>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</si>
  <si>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</si>
  <si>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</si>
  <si>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</si>
  <si>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</si>
  <si>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</si>
  <si>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</si>
  <si>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</si>
  <si>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</si>
  <si>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</si>
  <si>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</si>
  <si>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</si>
  <si>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</si>
  <si>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</si>
  <si>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</si>
  <si>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</si>
  <si>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</si>
  <si>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</si>
  <si>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</si>
  <si>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</si>
  <si>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</si>
  <si>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</si>
  <si>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</si>
  <si>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</si>
  <si>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</si>
  <si>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</si>
  <si>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</si>
  <si>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</si>
  <si>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</si>
  <si>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</si>
  <si>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</si>
  <si>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</si>
  <si>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</si>
  <si>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</si>
  <si>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</si>
  <si>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</si>
  <si>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</si>
  <si>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</si>
  <si>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</si>
  <si>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</si>
  <si>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</si>
  <si>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</si>
  <si>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</si>
  <si>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</si>
  <si>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</si>
  <si>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</si>
  <si>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</si>
  <si>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</si>
  <si>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</si>
  <si>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</si>
  <si>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</si>
  <si>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</si>
  <si>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</si>
  <si>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</si>
  <si>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</si>
  <si>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</si>
  <si>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</si>
  <si>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</si>
  <si>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</si>
  <si>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</si>
  <si>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</si>
  <si>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</si>
  <si>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</si>
  <si>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</si>
  <si>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</si>
  <si>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</si>
  <si>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</si>
  <si>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</si>
  <si>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</si>
  <si>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</si>
  <si>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</si>
  <si>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</si>
  <si>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</si>
  <si>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</si>
  <si>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</si>
  <si>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</si>
  <si>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</si>
  <si>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</si>
  <si>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</si>
  <si>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</si>
  <si>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</si>
  <si>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</si>
  <si>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</si>
  <si>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</si>
  <si>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</si>
  <si>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</si>
  <si>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</si>
  <si>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</si>
  <si>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</si>
  <si>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</si>
  <si>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</si>
  <si>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</si>
  <si>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</si>
  <si>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</si>
  <si>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</si>
  <si>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</si>
  <si>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</si>
  <si>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</si>
  <si>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</si>
  <si>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</si>
  <si>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</si>
  <si>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</si>
  <si>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</si>
  <si>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</si>
  <si>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</si>
  <si>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</si>
  <si>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</si>
  <si>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</si>
  <si>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</si>
  <si>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</si>
  <si>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</si>
  <si>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</si>
  <si>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</si>
  <si>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</si>
  <si>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</si>
  <si>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</si>
  <si>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</si>
  <si>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</si>
  <si>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</si>
  <si>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</si>
  <si>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</si>
  <si>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</si>
  <si>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</si>
  <si>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</si>
  <si>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</si>
  <si>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</si>
  <si>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</si>
  <si>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</si>
  <si>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</si>
  <si>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</si>
  <si>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</si>
  <si>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</si>
  <si>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</si>
  <si>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</si>
  <si>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</si>
  <si>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</si>
  <si>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</si>
  <si>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</si>
  <si>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</si>
  <si>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</si>
  <si>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</si>
  <si>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</si>
  <si>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</si>
  <si>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</si>
  <si>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</si>
  <si>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</si>
  <si>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</si>
  <si>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</si>
  <si>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</si>
  <si>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</si>
  <si>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</si>
  <si>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</si>
  <si>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</si>
  <si>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</si>
  <si>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</si>
  <si>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</si>
  <si>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</si>
  <si>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</si>
  <si>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</si>
  <si>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</si>
  <si>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</si>
  <si>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</si>
  <si>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</si>
  <si>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</si>
  <si>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</si>
  <si>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</si>
  <si>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</si>
  <si>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</si>
  <si>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</si>
  <si>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</si>
  <si>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</si>
  <si>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</si>
  <si>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</si>
  <si>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</si>
  <si>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</si>
  <si>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</si>
  <si>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</si>
  <si>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</si>
  <si>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</si>
  <si>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</si>
  <si>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</si>
  <si>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</si>
  <si>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</si>
  <si>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</si>
  <si>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</si>
  <si>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</si>
  <si>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</si>
  <si>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</si>
  <si>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</si>
  <si>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</si>
  <si>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</si>
  <si>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</si>
  <si>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</si>
  <si>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</si>
  <si>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</si>
  <si>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</si>
  <si>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</si>
  <si>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</si>
  <si>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</si>
  <si>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</si>
  <si>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</si>
  <si>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</si>
  <si>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</si>
  <si>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</si>
  <si>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</si>
  <si>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</si>
  <si>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</si>
  <si>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</si>
  <si>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</si>
  <si>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</si>
  <si>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</si>
  <si>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</si>
  <si>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</si>
  <si>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</si>
  <si>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</si>
  <si>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</si>
  <si>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</si>
  <si>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</si>
  <si>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</si>
  <si>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</si>
  <si>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</si>
  <si>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</si>
  <si>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</si>
  <si>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</si>
  <si>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</si>
  <si>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</si>
  <si>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</si>
  <si>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</si>
  <si>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</si>
  <si>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</si>
  <si>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</si>
  <si>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</si>
  <si>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</si>
  <si>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</si>
  <si>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</si>
  <si>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</si>
  <si>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</si>
  <si>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</si>
  <si>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</si>
  <si>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</si>
  <si>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</si>
  <si>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</si>
  <si>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</si>
  <si>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</si>
  <si>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</si>
  <si>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</si>
  <si>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</si>
  <si>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</si>
  <si>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</si>
  <si>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</si>
  <si>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</si>
  <si>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</si>
  <si>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</si>
  <si>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</si>
  <si>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</si>
  <si>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</si>
  <si>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</si>
  <si>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</si>
  <si>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</si>
  <si>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</si>
  <si>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</si>
  <si>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</si>
  <si>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</si>
  <si>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</si>
  <si>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</si>
  <si>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</si>
  <si>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</si>
  <si>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</si>
  <si>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</si>
  <si>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</si>
  <si>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</si>
  <si>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</si>
  <si>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</si>
  <si>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</si>
  <si>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</si>
  <si>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</si>
  <si>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</si>
  <si>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</si>
  <si>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</si>
  <si>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</si>
  <si>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</si>
  <si>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</si>
  <si>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</si>
  <si>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</si>
  <si>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</si>
  <si>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</si>
  <si>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</si>
  <si>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</si>
  <si>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</si>
  <si>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</si>
  <si>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</si>
  <si>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</si>
  <si>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</si>
  <si>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</si>
  <si>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</si>
  <si>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</si>
  <si>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</si>
  <si>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</si>
  <si>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</si>
  <si>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</si>
  <si>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</si>
  <si>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</si>
  <si>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</si>
  <si>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</si>
  <si>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</si>
  <si>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</si>
  <si>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</si>
  <si>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</si>
  <si>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</si>
  <si>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</si>
  <si>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</si>
  <si>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</si>
  <si>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</si>
  <si>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</si>
  <si>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</si>
  <si>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</si>
  <si>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</si>
  <si>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</si>
  <si>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</si>
  <si>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</si>
  <si>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</si>
  <si>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</si>
  <si>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</si>
  <si>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</si>
  <si>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</si>
  <si>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</si>
  <si>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</si>
  <si>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</si>
  <si>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</si>
  <si>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</si>
  <si>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</si>
  <si>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</si>
  <si>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</si>
  <si>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</si>
  <si>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</si>
  <si>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</si>
  <si>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</si>
  <si>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</si>
  <si>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</si>
  <si>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</si>
  <si>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</si>
  <si>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</si>
  <si>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</si>
  <si>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</si>
  <si>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</si>
  <si>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</si>
  <si>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</si>
  <si>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</si>
  <si>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</si>
  <si>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</si>
  <si>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</si>
  <si>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</si>
  <si>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</si>
  <si>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</si>
  <si>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</si>
  <si>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</si>
  <si>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</si>
  <si>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</si>
  <si>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</si>
  <si>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</si>
  <si>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</si>
  <si>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</si>
  <si>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</si>
  <si>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</si>
  <si>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</si>
  <si>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</si>
  <si>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</si>
  <si>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</si>
  <si>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</si>
  <si>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</si>
  <si>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</si>
  <si>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</si>
  <si>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</si>
  <si>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</si>
  <si>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</si>
  <si>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</si>
  <si>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</si>
  <si>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</si>
  <si>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</si>
  <si>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</si>
  <si>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</si>
  <si>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</si>
  <si>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</si>
  <si>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</si>
  <si>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</si>
  <si>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</si>
  <si>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</si>
  <si>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</si>
  <si>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</si>
  <si>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</si>
  <si>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</si>
  <si>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</si>
  <si>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</si>
  <si>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</si>
  <si>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</si>
  <si>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</si>
  <si>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</si>
  <si>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</si>
  <si>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</si>
  <si>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</si>
  <si>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</si>
  <si>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</si>
  <si>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</si>
  <si>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</si>
  <si>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</si>
  <si>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</si>
  <si>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</si>
  <si>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</si>
  <si>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</si>
  <si>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</si>
  <si>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</si>
  <si>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</si>
  <si>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</si>
  <si>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</si>
  <si>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</si>
  <si>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</si>
  <si>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</si>
  <si>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</si>
  <si>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</si>
  <si>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</si>
  <si>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</si>
  <si>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</si>
  <si>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</si>
  <si>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</si>
  <si>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</si>
  <si>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</si>
  <si>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</si>
  <si>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</si>
  <si>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</si>
  <si>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</si>
  <si>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</si>
  <si>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</si>
  <si>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</si>
  <si>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</si>
  <si>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</si>
  <si>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</si>
  <si>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</si>
  <si>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</si>
  <si>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</si>
  <si>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</si>
  <si>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</si>
  <si>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</si>
  <si>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</si>
  <si>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</si>
  <si>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</si>
  <si>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</si>
  <si>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</si>
  <si>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</si>
  <si>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</si>
  <si>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</si>
  <si>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</si>
  <si>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</si>
  <si>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</si>
  <si>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</si>
  <si>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</si>
  <si>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</si>
  <si>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</si>
  <si>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</si>
  <si>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</si>
  <si>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</si>
  <si>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</si>
  <si>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</si>
  <si>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</si>
  <si>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</si>
  <si>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</si>
  <si>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</si>
  <si>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</si>
  <si>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</si>
  <si>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</si>
  <si>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</si>
  <si>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</si>
  <si>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</si>
  <si>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</si>
  <si>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</si>
  <si>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</si>
  <si>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</si>
  <si>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</si>
  <si>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</si>
  <si>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</si>
  <si>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</si>
  <si>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</si>
  <si>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</si>
  <si>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</si>
  <si>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</si>
  <si>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</si>
  <si>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</si>
  <si>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</si>
  <si>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</si>
  <si>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</si>
  <si>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</si>
  <si>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</si>
  <si>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</si>
  <si>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</si>
  <si>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</si>
  <si>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</si>
  <si>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</si>
  <si>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</si>
  <si>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</si>
  <si>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</si>
  <si>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</si>
  <si>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</si>
  <si>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</si>
  <si>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</si>
  <si>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</si>
  <si>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</si>
  <si>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</si>
  <si>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</si>
  <si>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</si>
  <si>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</si>
  <si>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</si>
  <si>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</si>
  <si>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</si>
  <si>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</si>
  <si>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</si>
  <si>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</si>
  <si>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</si>
  <si>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</si>
  <si>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</si>
  <si>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</si>
  <si>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</si>
  <si>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</si>
  <si>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</si>
  <si>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</si>
  <si>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</si>
  <si>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</si>
  <si>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</si>
  <si>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</si>
  <si>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</si>
  <si>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</si>
  <si>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</si>
  <si>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</si>
  <si>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</si>
  <si>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</si>
  <si>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</si>
  <si>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</si>
  <si>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</si>
  <si>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</si>
  <si>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</si>
  <si>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</si>
  <si>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</si>
  <si>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</si>
  <si>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</si>
  <si>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</si>
  <si>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</si>
  <si>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</si>
  <si>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</si>
  <si>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</si>
  <si>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</si>
  <si>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</si>
  <si>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</si>
  <si>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</si>
  <si>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</si>
  <si>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</si>
  <si>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</si>
  <si>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</si>
  <si>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</si>
  <si>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</si>
  <si>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</si>
  <si>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</si>
  <si>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</si>
  <si>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</si>
  <si>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</si>
  <si>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</si>
  <si>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</si>
  <si>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</si>
  <si>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</si>
  <si>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</si>
  <si>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</si>
  <si>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</si>
  <si>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</si>
  <si>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</si>
  <si>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</si>
  <si>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</si>
  <si>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</si>
  <si>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</si>
  <si>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</si>
  <si>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</si>
  <si>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</si>
  <si>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</si>
  <si>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</si>
  <si>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</si>
  <si>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</si>
  <si>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</si>
  <si>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</si>
  <si>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</si>
  <si>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</si>
  <si>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</si>
  <si>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</si>
  <si>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</si>
  <si>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</si>
  <si>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</si>
  <si>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</si>
  <si>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</si>
  <si>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</si>
  <si>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</si>
  <si>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</si>
  <si>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</si>
  <si>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</si>
  <si>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</si>
  <si>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</si>
  <si>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</si>
  <si>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</si>
  <si>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</si>
  <si>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</si>
  <si>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</si>
  <si>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</si>
  <si>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</si>
  <si>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</si>
  <si>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</si>
  <si>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</si>
  <si>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</si>
  <si>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</si>
  <si>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</si>
  <si>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</si>
  <si>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</si>
  <si>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</si>
  <si>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</si>
  <si>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</si>
  <si>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</si>
  <si>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</si>
  <si>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</si>
  <si>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</si>
  <si>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</si>
  <si>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</si>
  <si>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</si>
  <si>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</si>
  <si>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</si>
  <si>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</si>
  <si>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</si>
  <si>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</si>
  <si>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</si>
  <si>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</si>
  <si>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</si>
  <si>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</si>
  <si>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</si>
  <si>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</si>
  <si>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</si>
  <si>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</si>
  <si>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</si>
  <si>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</si>
  <si>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</si>
  <si>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</si>
  <si>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</si>
  <si>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</si>
  <si>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</si>
  <si>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</si>
  <si>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</si>
  <si>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</si>
  <si>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</si>
  <si>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</si>
  <si>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</si>
  <si>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</si>
  <si>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</si>
  <si>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</si>
  <si>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</si>
  <si>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</si>
  <si>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</si>
  <si>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</si>
  <si>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</si>
  <si>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</si>
  <si>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</si>
  <si>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</si>
  <si>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</si>
  <si>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</si>
  <si>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</si>
  <si>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</si>
  <si>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</si>
  <si>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</si>
  <si>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</si>
  <si>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</si>
  <si>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</si>
  <si>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</si>
  <si>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</si>
  <si>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</si>
  <si>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</si>
  <si>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</si>
  <si>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</si>
  <si>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</si>
  <si>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</si>
  <si>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</si>
  <si>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</si>
  <si>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</si>
  <si>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</si>
  <si>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</si>
  <si>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</si>
  <si>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</si>
  <si>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</si>
  <si>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</si>
  <si>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</si>
  <si>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</si>
  <si>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</si>
  <si>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</si>
  <si>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</si>
  <si>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</si>
  <si>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</si>
  <si>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</si>
  <si>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</si>
  <si>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</si>
  <si>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</si>
  <si>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</si>
  <si>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</si>
  <si>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</si>
  <si>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</si>
  <si>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</si>
  <si>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</si>
  <si>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</si>
  <si>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</si>
  <si>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</si>
  <si>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</si>
  <si>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</si>
  <si>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</si>
  <si>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</si>
  <si>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</si>
  <si>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</si>
  <si>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</si>
  <si>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</si>
  <si>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</si>
  <si>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</si>
  <si>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</si>
  <si>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</si>
  <si>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</si>
  <si>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</si>
  <si>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</si>
  <si>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</si>
  <si>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</si>
  <si>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</si>
  <si>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</si>
  <si>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</si>
  <si>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</si>
  <si>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</si>
  <si>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</si>
  <si>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</si>
  <si>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</si>
  <si>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</si>
  <si>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</si>
  <si>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</si>
  <si>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</si>
  <si>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</si>
  <si>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</si>
  <si>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</si>
  <si>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</si>
  <si>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</si>
  <si>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</si>
  <si>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</si>
  <si>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</si>
  <si>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</si>
  <si>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</si>
  <si>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</si>
  <si>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</si>
  <si>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</si>
  <si>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</si>
  <si>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</si>
  <si>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</si>
  <si>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</si>
  <si>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</si>
  <si>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</si>
  <si>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</si>
  <si>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</si>
  <si>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</si>
  <si>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</si>
  <si>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</si>
  <si>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</si>
  <si>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</si>
  <si>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</si>
  <si>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</si>
  <si>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</si>
  <si>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</si>
  <si>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</si>
  <si>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</si>
  <si>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</si>
  <si>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</si>
  <si>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</si>
  <si>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</si>
  <si>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</si>
  <si>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</si>
  <si>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</si>
  <si>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</si>
  <si>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</si>
  <si>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</si>
  <si>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</si>
  <si>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</si>
  <si>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</si>
  <si>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</si>
  <si>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</si>
  <si>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</si>
  <si>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</si>
  <si>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</si>
  <si>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</si>
  <si>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</si>
  <si>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</si>
  <si>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</si>
  <si>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</si>
  <si>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</si>
  <si>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</si>
  <si>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</si>
  <si>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</si>
  <si>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</si>
  <si>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</si>
  <si>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</si>
  <si>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</si>
  <si>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</si>
  <si>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</si>
  <si>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</si>
  <si>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</si>
  <si>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</si>
  <si>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</si>
  <si>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</si>
  <si>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</si>
  <si>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</si>
  <si>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</si>
  <si>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</si>
  <si>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</si>
  <si>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</si>
  <si>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</si>
  <si>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</si>
  <si>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</si>
  <si>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</si>
  <si>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</si>
  <si>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</si>
  <si>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</si>
  <si>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</si>
  <si>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</si>
  <si>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</si>
  <si>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</si>
  <si>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</si>
  <si>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</si>
  <si>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</si>
  <si>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</si>
  <si>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</si>
  <si>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</si>
  <si>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</si>
  <si>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</si>
  <si>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</si>
  <si>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</si>
  <si>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</si>
  <si>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</si>
  <si>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</si>
  <si>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</si>
  <si>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</si>
  <si>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</si>
  <si>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</si>
  <si>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</si>
  <si>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</si>
  <si>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</si>
  <si>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</si>
  <si>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</si>
  <si>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</si>
  <si>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</si>
  <si>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</si>
  <si>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</si>
  <si>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</si>
  <si>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</si>
  <si>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</si>
  <si>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</si>
  <si>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</si>
  <si>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</si>
  <si>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</si>
  <si>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</si>
  <si>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</si>
  <si>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</si>
  <si>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</si>
  <si>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</si>
  <si>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</si>
  <si>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</si>
  <si>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</si>
  <si>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</si>
  <si>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</si>
  <si>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</si>
  <si>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</si>
  <si>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</si>
  <si>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</si>
  <si>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</si>
  <si>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</si>
  <si>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</si>
  <si>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</si>
  <si>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</si>
  <si>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</si>
  <si>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</si>
  <si>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</si>
  <si>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</si>
  <si>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</si>
  <si>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</si>
  <si>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</si>
  <si>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</si>
  <si>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</si>
  <si>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</si>
  <si>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</si>
  <si>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</si>
  <si>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</si>
  <si>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</si>
  <si>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</si>
  <si>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</si>
  <si>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</si>
  <si>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</si>
  <si>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</si>
  <si>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</si>
  <si>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</si>
  <si>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</si>
  <si>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</si>
  <si>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</si>
  <si>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</si>
  <si>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</si>
  <si>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</si>
  <si>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</si>
  <si>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</si>
  <si>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</si>
  <si>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</si>
  <si>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</si>
  <si>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</si>
  <si>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</si>
  <si>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</si>
  <si>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</si>
  <si>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</si>
  <si>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</si>
  <si>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</si>
  <si>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</si>
  <si>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</si>
  <si>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</si>
  <si>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</si>
  <si>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</si>
  <si>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</si>
  <si>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</si>
  <si>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</si>
  <si>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</si>
  <si>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</si>
  <si>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</si>
  <si>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</si>
  <si>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</si>
  <si>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</si>
  <si>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</si>
  <si>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</si>
  <si>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</si>
  <si>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</si>
  <si>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</si>
  <si>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</si>
  <si>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</si>
  <si>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</si>
  <si>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</si>
  <si>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</si>
  <si>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</si>
  <si>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</si>
  <si>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</si>
  <si>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</si>
  <si>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</si>
  <si>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</si>
  <si>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</si>
  <si>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</si>
  <si>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</si>
  <si>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</si>
  <si>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</si>
  <si>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</si>
  <si>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</si>
  <si>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</si>
  <si>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</si>
  <si>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</si>
  <si>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</si>
  <si>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</si>
  <si>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</si>
  <si>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</si>
  <si>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</si>
  <si>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</si>
  <si>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</si>
  <si>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</si>
  <si>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</si>
  <si>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</si>
  <si>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</si>
  <si>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</si>
  <si>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</si>
  <si>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</si>
  <si>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</si>
  <si>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</si>
  <si>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</si>
  <si>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</si>
  <si>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</si>
  <si>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</si>
  <si>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</si>
  <si>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</si>
  <si>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</si>
  <si>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</si>
  <si>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</si>
  <si>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</si>
  <si>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</si>
  <si>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</si>
  <si>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</si>
  <si>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</si>
  <si>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</si>
  <si>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</si>
  <si>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</si>
  <si>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</si>
  <si>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</si>
  <si>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</si>
  <si>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</si>
  <si>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</si>
  <si>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</si>
  <si>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</si>
  <si>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</si>
  <si>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</si>
  <si>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</si>
  <si>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</si>
  <si>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</si>
  <si>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</si>
  <si>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</si>
  <si>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</si>
  <si>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</si>
  <si>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</si>
  <si>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</si>
  <si>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</si>
  <si>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</si>
  <si>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</si>
  <si>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</si>
  <si>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</si>
  <si>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</si>
  <si>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</si>
  <si>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</si>
  <si>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</si>
  <si>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</si>
  <si>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</si>
  <si>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</si>
  <si>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</si>
  <si>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</si>
  <si>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</si>
  <si>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</si>
  <si>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</si>
  <si>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</si>
  <si>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</si>
  <si>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</si>
  <si>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</si>
  <si>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</si>
  <si>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</si>
  <si>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</si>
  <si>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</si>
  <si>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</si>
  <si>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</si>
  <si>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</si>
  <si>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</si>
  <si>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</si>
  <si>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</si>
  <si>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</si>
  <si>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</si>
  <si>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</si>
  <si>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</si>
  <si>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</si>
  <si>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</si>
  <si>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</si>
  <si>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</si>
  <si>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</si>
  <si>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</si>
  <si>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</si>
  <si>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</si>
  <si>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</si>
  <si>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</si>
  <si>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</si>
  <si>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</si>
  <si>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</si>
  <si>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</si>
  <si>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</si>
  <si>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</si>
  <si>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</si>
  <si>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</si>
  <si>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</si>
  <si>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</si>
  <si>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</si>
  <si>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</si>
  <si>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</si>
  <si>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</si>
  <si>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</si>
  <si>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</si>
  <si>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</si>
  <si>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</si>
  <si>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</si>
  <si>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</si>
  <si>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</si>
  <si>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</si>
  <si>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</si>
  <si>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</si>
  <si>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</si>
  <si>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</si>
  <si>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</si>
  <si>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</si>
  <si>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</si>
  <si>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</si>
  <si>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</si>
  <si>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</si>
  <si>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</si>
  <si>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</si>
  <si>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</si>
  <si>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</si>
  <si>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</si>
  <si>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</si>
  <si>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</si>
  <si>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</si>
  <si>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</si>
  <si>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</si>
  <si>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</si>
  <si>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</si>
  <si>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</si>
  <si>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</si>
  <si>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</si>
  <si>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</si>
  <si>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</si>
  <si>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</si>
  <si>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</si>
  <si>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</si>
  <si>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</si>
  <si>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</si>
  <si>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</si>
  <si>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</si>
  <si>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</si>
  <si>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</si>
  <si>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</si>
  <si>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</si>
  <si>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</si>
  <si>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</si>
  <si>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</si>
  <si>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</si>
  <si>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</si>
  <si>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</si>
  <si>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</si>
  <si>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</si>
  <si>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</si>
  <si>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</si>
  <si>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</si>
  <si>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</si>
  <si>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</si>
  <si>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</si>
  <si>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</si>
  <si>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</si>
  <si>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</si>
  <si>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</si>
  <si>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</si>
  <si>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</si>
  <si>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</si>
  <si>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</si>
  <si>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</si>
  <si>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</si>
  <si>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</si>
  <si>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</si>
  <si>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</si>
  <si>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</si>
  <si>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</si>
  <si>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</si>
  <si>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</si>
  <si>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</si>
  <si>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</si>
  <si>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</si>
  <si>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</si>
  <si>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</si>
  <si>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</si>
  <si>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</si>
  <si>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</si>
  <si>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</si>
  <si>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</si>
  <si>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</si>
  <si>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</si>
  <si>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</si>
  <si>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</si>
  <si>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</si>
  <si>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</si>
  <si>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</si>
  <si>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</si>
  <si>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</si>
  <si>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</si>
  <si>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</si>
  <si>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</si>
  <si>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</si>
  <si>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</si>
  <si>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</si>
  <si>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</si>
  <si>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</si>
  <si>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</si>
  <si>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</si>
  <si>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</si>
  <si>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</si>
  <si>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</si>
  <si>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</si>
  <si>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</si>
  <si>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</si>
  <si>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</si>
  <si>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</si>
  <si>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</si>
  <si>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</si>
  <si>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</si>
  <si>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</si>
  <si>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</si>
  <si>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</si>
  <si>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</si>
  <si>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</si>
  <si>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</si>
  <si>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</si>
  <si>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</si>
  <si>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</si>
  <si>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</si>
  <si>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</si>
  <si>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</si>
  <si>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</si>
  <si>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</si>
  <si>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</si>
  <si>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</si>
  <si>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</si>
  <si>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</si>
  <si>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</si>
  <si>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</si>
  <si>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</si>
  <si>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</si>
  <si>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</si>
  <si>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</si>
  <si>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</si>
  <si>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</si>
  <si>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</si>
  <si>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</si>
  <si>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</si>
  <si>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</si>
  <si>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</si>
  <si>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</si>
  <si>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</si>
  <si>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</si>
  <si>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</si>
  <si>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</si>
  <si>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</si>
  <si>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</si>
  <si>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</si>
  <si>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</si>
  <si>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</si>
  <si>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</si>
  <si>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</si>
  <si>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</si>
  <si>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</si>
  <si>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</si>
  <si>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</si>
  <si>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</si>
  <si>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</si>
  <si>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</si>
  <si>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</si>
  <si>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</si>
  <si>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</si>
  <si>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</si>
  <si>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</si>
  <si>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</si>
  <si>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</si>
  <si>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</si>
  <si>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</si>
  <si>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</si>
  <si>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</si>
  <si>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</si>
  <si>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</si>
  <si>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</si>
  <si>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</si>
  <si>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</si>
  <si>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</si>
  <si>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</si>
  <si>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</si>
  <si>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</si>
  <si>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</si>
  <si>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</si>
  <si>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</si>
  <si>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</si>
  <si>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</si>
  <si>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</si>
  <si>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</si>
  <si>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</si>
  <si>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</si>
  <si>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</si>
  <si>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</si>
  <si>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</si>
  <si>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</si>
  <si>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</si>
  <si>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</si>
  <si>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</si>
  <si>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</si>
  <si>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</si>
  <si>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</si>
  <si>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</si>
  <si>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</si>
  <si>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</si>
  <si>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</si>
  <si>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</si>
  <si>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</si>
  <si>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</si>
  <si>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</si>
  <si>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</si>
  <si>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</si>
  <si>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</si>
  <si>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</si>
  <si>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</si>
  <si>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</si>
  <si>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</si>
  <si>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</si>
  <si>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</si>
  <si>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</si>
  <si>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</si>
  <si>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</si>
  <si>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</si>
  <si>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</si>
  <si>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</si>
  <si>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</si>
  <si>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</si>
  <si>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</si>
  <si>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</si>
  <si>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</si>
  <si>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</si>
  <si>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</si>
  <si>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</si>
  <si>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</si>
  <si>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</si>
  <si>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</si>
  <si>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</si>
  <si>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</si>
  <si>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</si>
  <si>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</si>
  <si>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</si>
  <si>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</si>
  <si>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</si>
  <si>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</si>
  <si>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</si>
  <si>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</si>
  <si>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</si>
  <si>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</si>
  <si>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</si>
  <si>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</si>
  <si>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</si>
  <si>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</si>
  <si>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</si>
  <si>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</si>
  <si>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</si>
  <si>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</si>
  <si>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</si>
  <si>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</si>
  <si>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</si>
  <si>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</si>
  <si>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</si>
  <si>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</si>
  <si>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</si>
  <si>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</si>
  <si>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</si>
  <si>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</si>
  <si>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</si>
  <si>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</si>
  <si>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</si>
  <si>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</si>
  <si>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</si>
  <si>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</si>
  <si>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</si>
  <si>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</si>
  <si>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</si>
  <si>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</si>
  <si>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</si>
  <si>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</si>
  <si>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</si>
  <si>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</si>
  <si>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</si>
  <si>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</si>
  <si>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</si>
  <si>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</si>
  <si>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</si>
  <si>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</si>
  <si>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</si>
  <si>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</si>
  <si>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</si>
  <si>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</si>
  <si>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</si>
  <si>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</si>
  <si>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</si>
  <si>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</si>
  <si>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</si>
  <si>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</si>
  <si>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</si>
  <si>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</si>
  <si>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</si>
  <si>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</si>
  <si>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</si>
  <si>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</si>
  <si>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</si>
  <si>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</si>
  <si>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</si>
  <si>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</si>
  <si>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</si>
  <si>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</si>
  <si>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</si>
  <si>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</si>
  <si>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</si>
  <si>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</si>
  <si>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</si>
  <si>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</si>
  <si>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</si>
  <si>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</si>
  <si>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</si>
  <si>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</si>
  <si>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</si>
  <si>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</si>
  <si>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</si>
  <si>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</si>
  <si>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</si>
  <si>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</si>
  <si>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</si>
  <si>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</si>
  <si>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</si>
  <si>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</si>
  <si>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</si>
  <si>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</si>
  <si>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</si>
  <si>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</si>
  <si>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</si>
  <si>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</si>
  <si>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</si>
  <si>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</si>
  <si>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</si>
  <si>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</si>
  <si>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</si>
  <si>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</si>
  <si>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</si>
  <si>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</si>
  <si>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</si>
  <si>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</si>
  <si>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</si>
  <si>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</si>
  <si>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</si>
  <si>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</si>
  <si>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</si>
  <si>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</si>
  <si>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</si>
  <si>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</si>
  <si>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</si>
  <si>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</si>
  <si>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</si>
  <si>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</si>
  <si>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</si>
  <si>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</si>
  <si>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</si>
  <si>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</si>
  <si>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</si>
  <si>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</si>
  <si>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</si>
  <si>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</si>
  <si>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</si>
  <si>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</si>
  <si>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</si>
  <si>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</si>
  <si>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</si>
  <si>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</si>
  <si>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</si>
  <si>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</si>
  <si>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</si>
  <si>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</si>
  <si>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</si>
  <si>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</si>
  <si>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</si>
  <si>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</si>
  <si>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</si>
  <si>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</si>
  <si>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</si>
  <si>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</si>
  <si>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</si>
  <si>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</si>
  <si>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</si>
  <si>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</si>
  <si>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</si>
  <si>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</si>
  <si>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</si>
  <si>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</si>
  <si>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</si>
  <si>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</si>
  <si>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</si>
  <si>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</si>
  <si>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</si>
  <si>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</si>
  <si>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</si>
  <si>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</si>
  <si>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</si>
  <si>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</si>
  <si>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</si>
  <si>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</si>
  <si>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</si>
  <si>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</si>
  <si>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</si>
  <si>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</si>
  <si>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</si>
  <si>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</si>
  <si>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</si>
  <si>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</si>
  <si>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</si>
  <si>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</si>
  <si>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</si>
  <si>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</si>
  <si>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</si>
  <si>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</si>
  <si>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</si>
  <si>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</si>
  <si>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</si>
  <si>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</si>
  <si>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</si>
  <si>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</si>
  <si>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</si>
  <si>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</si>
  <si>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</si>
  <si>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</si>
  <si>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</si>
  <si>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</si>
  <si>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</si>
  <si>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</si>
  <si>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</si>
  <si>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</si>
  <si>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</si>
  <si>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</si>
  <si>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</si>
  <si>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</si>
  <si>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</si>
  <si>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</si>
  <si>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</si>
  <si>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</si>
  <si>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</si>
  <si>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</si>
  <si>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</si>
  <si>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</si>
  <si>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</si>
  <si>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</si>
  <si>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</si>
  <si>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</si>
  <si>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</si>
  <si>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</si>
  <si>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</si>
  <si>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</si>
  <si>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</si>
  <si>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</si>
  <si>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</si>
  <si>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</si>
  <si>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</si>
  <si>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</si>
  <si>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</si>
  <si>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</si>
  <si>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</si>
  <si>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</si>
  <si>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</si>
  <si>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</si>
  <si>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</si>
  <si>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</si>
  <si>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</si>
  <si>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</si>
  <si>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</si>
  <si>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</si>
  <si>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</si>
  <si>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</si>
  <si>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</si>
  <si>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</si>
  <si>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</si>
  <si>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</si>
  <si>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</si>
  <si>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</si>
  <si>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</si>
  <si>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</si>
  <si>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</si>
  <si>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</si>
  <si>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</si>
  <si>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</si>
  <si>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</si>
  <si>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</si>
  <si>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</si>
  <si>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</si>
  <si>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</si>
  <si>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</si>
  <si>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</si>
  <si>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</si>
  <si>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</si>
  <si>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</si>
  <si>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</si>
  <si>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</si>
  <si>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</si>
  <si>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</si>
  <si>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</si>
  <si>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</si>
  <si>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</si>
  <si>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</si>
  <si>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</si>
  <si>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</si>
  <si>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</si>
  <si>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</si>
  <si>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</si>
  <si>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</si>
  <si>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</si>
  <si>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</si>
  <si>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</si>
  <si>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</si>
  <si>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</si>
  <si>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</si>
  <si>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</si>
  <si>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</si>
  <si>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</si>
  <si>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</si>
  <si>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</si>
  <si>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</si>
  <si>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</si>
  <si>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</si>
  <si>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</si>
  <si>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</si>
  <si>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</si>
  <si>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</si>
  <si>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</si>
  <si>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</si>
  <si>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</si>
  <si>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</si>
  <si>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</si>
  <si>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</si>
  <si>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</si>
  <si>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</si>
  <si>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</si>
  <si>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</si>
  <si>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</si>
  <si>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</si>
  <si>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</si>
  <si>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</si>
  <si>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</si>
  <si>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</si>
  <si>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</si>
  <si>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</si>
  <si>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</si>
  <si>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</si>
  <si>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</si>
  <si>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</si>
  <si>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</si>
  <si>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</si>
  <si>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</si>
  <si>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</si>
  <si>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</si>
  <si>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</si>
  <si>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</si>
  <si>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</si>
  <si>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</si>
  <si>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</si>
  <si>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</si>
  <si>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</si>
  <si>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</si>
  <si>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</si>
  <si>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</si>
  <si>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</si>
  <si>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</si>
  <si>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</si>
  <si>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</si>
  <si>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</si>
  <si>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</si>
  <si>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</si>
  <si>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</si>
  <si>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</si>
  <si>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</si>
  <si>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</si>
  <si>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</si>
  <si>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</si>
  <si>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</si>
  <si>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</si>
  <si>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</si>
  <si>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</si>
  <si>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</si>
  <si>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</si>
  <si>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</si>
  <si>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</si>
  <si>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</si>
  <si>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</si>
  <si>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</si>
  <si>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</si>
  <si>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</si>
  <si>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</si>
  <si>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</si>
  <si>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</si>
  <si>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</si>
  <si>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</si>
  <si>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</si>
  <si>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</si>
  <si>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</si>
  <si>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</si>
  <si>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</si>
  <si>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</si>
  <si>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</si>
  <si>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</si>
  <si>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</si>
  <si>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</si>
  <si>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</si>
  <si>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</si>
  <si>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</si>
  <si>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</si>
  <si>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</si>
  <si>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</si>
  <si>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</si>
  <si>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</si>
  <si>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</si>
  <si>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</si>
  <si>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</si>
  <si>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</si>
  <si>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</si>
  <si>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</si>
  <si>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</si>
  <si>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</si>
  <si>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</si>
  <si>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</si>
  <si>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</si>
  <si>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</si>
  <si>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</si>
  <si>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</si>
  <si>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</si>
  <si>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</si>
  <si>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</si>
  <si>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</si>
  <si>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</si>
  <si>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</si>
  <si>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</si>
  <si>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</si>
  <si>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</si>
  <si>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</si>
  <si>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</si>
  <si>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</si>
  <si>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</si>
  <si>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</si>
  <si>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</si>
  <si>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</si>
  <si>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</si>
  <si>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</si>
  <si>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</si>
  <si>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</si>
  <si>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</si>
  <si>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</si>
  <si>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</si>
  <si>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</si>
  <si>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</si>
  <si>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</si>
  <si>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</si>
  <si>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</si>
  <si>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</si>
  <si>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</si>
  <si>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</si>
  <si>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</si>
  <si>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</si>
  <si>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</si>
  <si>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</si>
  <si>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</si>
  <si>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</si>
  <si>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</si>
  <si>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</si>
  <si>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</si>
  <si>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</si>
  <si>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</si>
  <si>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</si>
  <si>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</si>
  <si>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</si>
  <si>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</si>
  <si>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</si>
  <si>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</si>
  <si>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</si>
  <si>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</si>
  <si>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</si>
  <si>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</si>
  <si>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</si>
  <si>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</si>
  <si>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</si>
  <si>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</si>
  <si>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</si>
  <si>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</si>
  <si>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</si>
  <si>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</si>
  <si>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</si>
  <si>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</si>
  <si>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</si>
  <si>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</si>
  <si>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</si>
  <si>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</si>
  <si>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</si>
  <si>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</si>
  <si>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</si>
  <si>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</si>
  <si>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</si>
  <si>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</si>
  <si>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</si>
  <si>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</si>
  <si>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</si>
  <si>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</si>
  <si>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</si>
  <si>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</si>
  <si>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</si>
  <si>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</si>
  <si>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</si>
  <si>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</si>
  <si>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</si>
  <si>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</si>
  <si>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</si>
  <si>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</si>
  <si>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</si>
  <si>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</si>
  <si>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</si>
  <si>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</si>
  <si>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</si>
  <si>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</si>
  <si>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</si>
  <si>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</si>
  <si>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</si>
  <si>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</si>
  <si>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</si>
  <si>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</si>
  <si>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</si>
  <si>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</si>
  <si>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</si>
  <si>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</si>
  <si>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</si>
  <si>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</si>
  <si>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</si>
  <si>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</si>
  <si>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</si>
  <si>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</si>
  <si>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</si>
  <si>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</si>
  <si>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</si>
  <si>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</si>
  <si>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</si>
  <si>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</si>
  <si>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</si>
  <si>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</si>
  <si>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</si>
  <si>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</si>
  <si>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</si>
  <si>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</si>
  <si>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</si>
  <si>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</si>
  <si>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</si>
  <si>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</si>
  <si>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</si>
  <si>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</si>
  <si>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</si>
  <si>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</si>
  <si>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</si>
  <si>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</si>
  <si>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</si>
  <si>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</si>
  <si>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</si>
  <si>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</si>
  <si>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</si>
  <si>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</si>
  <si>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</si>
  <si>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</si>
  <si>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</si>
  <si>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</si>
  <si>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</si>
  <si>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</si>
  <si>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</si>
  <si>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</si>
  <si>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</si>
  <si>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</si>
  <si>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</si>
  <si>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</si>
  <si>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</si>
  <si>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</si>
  <si>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</si>
  <si>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</si>
  <si>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</si>
  <si>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</si>
  <si>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</si>
  <si>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</si>
  <si>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</si>
  <si>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</si>
  <si>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</si>
  <si>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</si>
  <si>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</si>
  <si>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</si>
  <si>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</si>
  <si>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</si>
  <si>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</si>
  <si>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</si>
  <si>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</si>
  <si>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</si>
  <si>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</si>
  <si>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</si>
  <si>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</si>
  <si>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</si>
  <si>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</si>
  <si>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</si>
  <si>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</si>
  <si>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</si>
  <si>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</si>
  <si>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</si>
  <si>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</si>
  <si>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</si>
  <si>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</si>
  <si>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</si>
  <si>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</si>
  <si>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</si>
  <si>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</si>
  <si>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</si>
  <si>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</si>
  <si>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</si>
  <si>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</si>
  <si>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</si>
  <si>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</si>
  <si>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</si>
  <si>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</si>
  <si>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</si>
  <si>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</si>
  <si>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</si>
  <si>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</si>
  <si>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</si>
  <si>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</si>
  <si>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</si>
  <si>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</si>
  <si>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</si>
  <si>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</si>
  <si>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</si>
  <si>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</si>
  <si>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</si>
  <si>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</si>
  <si>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</si>
  <si>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</si>
  <si>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</si>
  <si>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</si>
  <si>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</si>
  <si>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</si>
  <si>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</si>
  <si>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</si>
  <si>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</si>
  <si>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</si>
  <si>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</si>
  <si>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</si>
  <si>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</si>
  <si>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</si>
  <si>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</si>
  <si>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</si>
  <si>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</si>
  <si>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</si>
  <si>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</si>
  <si>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</si>
  <si>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</si>
  <si>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</si>
  <si>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</si>
  <si>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</si>
  <si>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</si>
  <si>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</si>
  <si>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</si>
  <si>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</si>
  <si>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</si>
  <si>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</si>
  <si>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</si>
  <si>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</si>
  <si>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</si>
  <si>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</si>
  <si>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</si>
  <si>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</si>
  <si>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</si>
  <si>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</si>
  <si>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</si>
  <si>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</si>
  <si>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</si>
  <si>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</si>
  <si>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</si>
  <si>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</si>
  <si>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</si>
  <si>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</si>
  <si>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</si>
  <si>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</si>
  <si>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</si>
  <si>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</si>
  <si>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</si>
  <si>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</si>
  <si>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</si>
  <si>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</si>
  <si>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</si>
  <si>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</si>
  <si>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</si>
  <si>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</si>
  <si>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</si>
  <si>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</si>
  <si>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</si>
  <si>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</si>
  <si>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</si>
  <si>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</si>
  <si>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</si>
  <si>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</si>
  <si>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</si>
  <si>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</si>
  <si>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</si>
  <si>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</si>
  <si>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</si>
  <si>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</si>
  <si>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</si>
  <si>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</si>
  <si>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</si>
  <si>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</si>
  <si>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</si>
  <si>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</si>
  <si>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</si>
  <si>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</si>
  <si>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</si>
  <si>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</si>
  <si>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</si>
  <si>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</si>
  <si>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</si>
  <si>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</si>
  <si>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</si>
  <si>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</si>
  <si>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</si>
  <si>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</si>
  <si>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</si>
  <si>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</si>
  <si>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</si>
  <si>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</si>
  <si>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</si>
  <si>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</si>
  <si>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</si>
  <si>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</si>
  <si>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</si>
  <si>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</si>
  <si>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</si>
  <si>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</si>
  <si>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</si>
  <si>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</si>
  <si>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</si>
  <si>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</si>
  <si>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</si>
  <si>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</si>
  <si>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</si>
  <si>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</si>
  <si>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</si>
  <si>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</si>
  <si>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</si>
  <si>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</si>
  <si>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</si>
  <si>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</si>
  <si>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</si>
  <si>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</si>
  <si>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</si>
  <si>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</si>
  <si>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</si>
  <si>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</si>
  <si>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</si>
  <si>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</si>
  <si>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</si>
  <si>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</si>
  <si>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</si>
  <si>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</si>
  <si>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</si>
  <si>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</si>
  <si>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</si>
  <si>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</si>
  <si>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</si>
  <si>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</si>
  <si>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</si>
  <si>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</si>
  <si>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</si>
  <si>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</si>
  <si>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</si>
  <si>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</si>
  <si>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</si>
  <si>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</si>
  <si>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</si>
  <si>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</si>
  <si>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</si>
  <si>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</si>
  <si>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</si>
  <si>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</si>
  <si>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</si>
  <si>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</si>
  <si>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</si>
  <si>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</si>
  <si>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</si>
  <si>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</si>
  <si>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</si>
  <si>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</si>
  <si>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</si>
  <si>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</si>
  <si>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</si>
  <si>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</si>
  <si>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</si>
  <si>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</si>
  <si>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</si>
  <si>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</si>
  <si>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</si>
  <si>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</si>
  <si>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</si>
  <si>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</si>
  <si>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</si>
  <si>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</si>
  <si>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</si>
  <si>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</si>
  <si>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</si>
  <si>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</si>
  <si>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</si>
  <si>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</si>
  <si>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</si>
  <si>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</si>
  <si>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</si>
  <si>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</si>
  <si>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</si>
  <si>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</si>
  <si>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</si>
  <si>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</si>
  <si>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</si>
  <si>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</si>
  <si>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</si>
  <si>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</si>
  <si>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</si>
  <si>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</si>
  <si>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</si>
  <si>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</si>
  <si>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</si>
  <si>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</si>
  <si>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</si>
  <si>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</si>
  <si>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</si>
  <si>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</si>
  <si>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</si>
  <si>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</si>
  <si>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</si>
  <si>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</si>
  <si>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</si>
  <si>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</si>
  <si>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</si>
  <si>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</si>
  <si>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</si>
  <si>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</si>
  <si>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</si>
  <si>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</si>
  <si>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</si>
  <si>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</si>
  <si>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</si>
  <si>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</si>
  <si>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</si>
  <si>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</si>
  <si>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</si>
  <si>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</si>
  <si>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</si>
  <si>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</si>
  <si>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</si>
  <si>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</si>
  <si>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</si>
  <si>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</si>
  <si>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</si>
  <si>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</si>
  <si>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</si>
  <si>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</si>
  <si>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</si>
  <si>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</si>
  <si>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</si>
  <si>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</si>
  <si>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</si>
  <si>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</si>
  <si>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</si>
  <si>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</si>
  <si>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</si>
  <si>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</si>
  <si>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</si>
  <si>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</si>
  <si>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</si>
  <si>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</si>
  <si>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</si>
  <si>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</si>
  <si>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</si>
  <si>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</si>
  <si>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</si>
  <si>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</si>
  <si>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</si>
  <si>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</si>
  <si>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</si>
  <si>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</si>
  <si>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</si>
  <si>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</si>
  <si>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</si>
  <si>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</si>
  <si>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</si>
  <si>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</si>
  <si>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</si>
  <si>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</si>
  <si>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</si>
  <si>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</si>
  <si>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</si>
  <si>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</si>
  <si>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</si>
  <si>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</si>
  <si>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</si>
  <si>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</si>
  <si>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</si>
  <si>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</si>
  <si>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</si>
  <si>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</si>
  <si>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</si>
  <si>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</si>
  <si>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</si>
  <si>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</si>
  <si>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</si>
  <si>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</si>
  <si>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</si>
  <si>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</si>
  <si>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</si>
  <si>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</si>
  <si>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</si>
  <si>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</si>
  <si>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</si>
  <si>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</si>
  <si>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</si>
  <si>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</si>
  <si>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</si>
  <si>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</si>
  <si>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</si>
  <si>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</si>
  <si>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</si>
  <si>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</si>
  <si>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</si>
  <si>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</si>
  <si>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</si>
  <si>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</si>
  <si>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</si>
  <si>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</si>
  <si>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</si>
  <si>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</si>
  <si>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</si>
  <si>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</si>
  <si>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</si>
  <si>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</si>
  <si>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</si>
  <si>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</si>
  <si>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</si>
  <si>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</si>
  <si>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</si>
  <si>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</si>
  <si>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</si>
  <si>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</si>
  <si>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</si>
  <si>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</si>
  <si>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</si>
  <si>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</si>
  <si>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</si>
  <si>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</si>
  <si>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</si>
  <si>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</si>
  <si>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</si>
  <si>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</si>
  <si>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</si>
  <si>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</si>
  <si>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</si>
  <si>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</si>
  <si>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</si>
  <si>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</si>
  <si>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</si>
  <si>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</si>
  <si>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</si>
  <si>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</si>
  <si>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</si>
  <si>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</si>
  <si>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</si>
  <si>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</si>
  <si>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</si>
  <si>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</si>
  <si>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</si>
  <si>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</si>
  <si>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</si>
  <si>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</si>
  <si>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</si>
  <si>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</si>
  <si>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</si>
  <si>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</si>
  <si>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</si>
  <si>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</si>
  <si>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</si>
  <si>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</si>
  <si>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</si>
  <si>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</si>
  <si>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</si>
  <si>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</si>
  <si>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</si>
  <si>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</si>
  <si>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</si>
  <si>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</si>
  <si>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</si>
  <si>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</si>
  <si>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</si>
  <si>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</si>
  <si>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</si>
  <si>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</si>
  <si>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</si>
  <si>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</si>
  <si>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</si>
  <si>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</si>
  <si>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</si>
  <si>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</si>
  <si>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</si>
  <si>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</si>
  <si>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</si>
  <si>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</si>
  <si>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</si>
  <si>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</si>
  <si>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</si>
  <si>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</si>
  <si>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</si>
  <si>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</si>
  <si>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</si>
  <si>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</si>
  <si>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</si>
  <si>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</si>
  <si>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</si>
  <si>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</si>
  <si>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</si>
  <si>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</si>
  <si>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</si>
  <si>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</si>
  <si>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</si>
  <si>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</si>
  <si>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</si>
  <si>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</si>
  <si>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</si>
  <si>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</si>
  <si>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</si>
  <si>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</si>
  <si>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</si>
  <si>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</si>
  <si>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</si>
  <si>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</si>
  <si>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</si>
  <si>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</si>
  <si>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</si>
  <si>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</si>
  <si>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</si>
  <si>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</si>
  <si>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</si>
  <si>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</si>
  <si>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</si>
  <si>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</si>
  <si>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</si>
  <si>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</si>
  <si>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</si>
  <si>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</si>
  <si>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</si>
  <si>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</si>
  <si>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</si>
  <si>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</si>
  <si>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</si>
  <si>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</si>
  <si>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</si>
  <si>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</si>
  <si>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</si>
  <si>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</si>
  <si>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</si>
  <si>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</si>
  <si>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</si>
  <si>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</si>
  <si>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</si>
  <si>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</si>
  <si>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</si>
  <si>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</si>
  <si>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</si>
  <si>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</si>
  <si>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</si>
  <si>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</si>
  <si>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</si>
  <si>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</si>
  <si>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</si>
  <si>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</si>
  <si>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</si>
  <si>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</si>
  <si>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</si>
  <si>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</si>
  <si>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</si>
  <si>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</si>
  <si>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</si>
  <si>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</si>
  <si>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</si>
  <si>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</si>
  <si>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</si>
  <si>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</si>
  <si>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</si>
  <si>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</si>
  <si>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</si>
  <si>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</si>
  <si>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</si>
  <si>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</si>
  <si>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</si>
  <si>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</si>
  <si>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</si>
  <si>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</si>
  <si>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</si>
  <si>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</si>
  <si>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</si>
  <si>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</si>
  <si>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</si>
  <si>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</si>
  <si>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</si>
  <si>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</si>
  <si>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</si>
  <si>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</si>
  <si>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</si>
  <si>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</si>
  <si>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</si>
  <si>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</si>
  <si>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</si>
  <si>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</si>
  <si>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</si>
  <si>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</si>
  <si>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</si>
  <si>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</si>
  <si>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</si>
  <si>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</si>
  <si>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</si>
  <si>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</si>
  <si>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</si>
  <si>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</si>
  <si>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</si>
  <si>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</si>
  <si>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</si>
  <si>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</si>
  <si>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</si>
  <si>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</si>
  <si>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</si>
  <si>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</si>
  <si>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</si>
  <si>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</si>
  <si>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</si>
  <si>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</si>
  <si>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</si>
  <si>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</si>
  <si>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</si>
  <si>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</si>
  <si>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</si>
  <si>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</si>
  <si>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</si>
  <si>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</si>
  <si>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</si>
  <si>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</si>
  <si>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</si>
  <si>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</si>
  <si>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</si>
  <si>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</si>
  <si>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</si>
  <si>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</si>
  <si>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</si>
  <si>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</si>
  <si>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</si>
  <si>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</si>
  <si>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</si>
  <si>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</si>
  <si>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</si>
  <si>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</si>
  <si>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</si>
  <si>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</si>
  <si>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</si>
  <si>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</si>
  <si>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</si>
  <si>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</si>
  <si>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</si>
  <si>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</si>
  <si>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</si>
  <si>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</si>
  <si>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</si>
  <si>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</si>
  <si>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</si>
  <si>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</si>
  <si>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</si>
  <si>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</si>
  <si>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</si>
  <si>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</si>
  <si>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</si>
  <si>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</si>
  <si>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</si>
  <si>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</si>
  <si>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</si>
  <si>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</si>
  <si>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</si>
  <si>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</si>
  <si>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</si>
  <si>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</si>
  <si>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</si>
  <si>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</si>
  <si>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</si>
  <si>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</si>
  <si>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</si>
  <si>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</si>
  <si>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</si>
  <si>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</si>
  <si>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</si>
  <si>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</si>
  <si>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</si>
  <si>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</si>
  <si>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</si>
  <si>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</si>
  <si>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</si>
  <si>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</si>
  <si>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</si>
  <si>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</si>
  <si>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</si>
  <si>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</si>
  <si>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</si>
  <si>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</si>
  <si>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</si>
  <si>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</si>
  <si>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</si>
  <si>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</si>
  <si>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</si>
  <si>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</si>
  <si>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</si>
  <si>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</si>
  <si>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</si>
  <si>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</si>
  <si>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</si>
  <si>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</si>
  <si>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</si>
  <si>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</si>
  <si>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</si>
  <si>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</si>
  <si>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</si>
  <si>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</si>
  <si>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</si>
  <si>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</si>
  <si>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</si>
  <si>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</si>
  <si>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</si>
  <si>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</si>
  <si>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</si>
  <si>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</si>
  <si>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</si>
  <si>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</si>
  <si>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</si>
  <si>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</si>
  <si>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</si>
  <si>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</si>
  <si>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</si>
  <si>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</si>
  <si>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</si>
  <si>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</si>
  <si>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</si>
  <si>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</si>
  <si>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</si>
  <si>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</si>
  <si>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</si>
  <si>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</si>
  <si>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</si>
  <si>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</si>
  <si>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</si>
  <si>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</si>
  <si>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</si>
  <si>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</si>
  <si>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</si>
  <si>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</si>
  <si>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</si>
  <si>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</si>
  <si>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</si>
  <si>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</si>
  <si>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</si>
  <si>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</si>
  <si>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</si>
  <si>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</si>
  <si>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</si>
  <si>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</si>
  <si>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</si>
  <si>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</si>
  <si>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</si>
  <si>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</si>
  <si>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</si>
  <si>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</si>
  <si>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</si>
  <si>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</si>
  <si>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</si>
  <si>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</si>
  <si>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</si>
  <si>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</si>
  <si>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</si>
  <si>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</si>
  <si>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</si>
  <si>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</si>
  <si>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</si>
  <si>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</si>
  <si>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</si>
  <si>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</si>
  <si>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</si>
  <si>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</si>
  <si>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</si>
  <si>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</si>
  <si>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</si>
  <si>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</si>
  <si>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</si>
  <si>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</si>
  <si>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</si>
  <si>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</si>
  <si>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</si>
  <si>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</si>
  <si>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</si>
  <si>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</si>
  <si>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</si>
  <si>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</si>
  <si>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</si>
  <si>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</si>
  <si>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</si>
  <si>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</si>
  <si>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</si>
  <si>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</si>
  <si>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</si>
  <si>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</si>
  <si>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</si>
  <si>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</si>
  <si>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</si>
  <si>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</si>
  <si>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</si>
  <si>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</si>
  <si>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</si>
  <si>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</si>
  <si>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</si>
  <si>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</si>
  <si>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</si>
  <si>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</si>
  <si>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</si>
  <si>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</si>
  <si>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</si>
  <si>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</si>
  <si>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</si>
  <si>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</si>
  <si>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</si>
  <si>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</si>
  <si>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</si>
  <si>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</si>
  <si>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</si>
  <si>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</si>
  <si>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</si>
  <si>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</si>
  <si>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</si>
  <si>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</si>
  <si>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</si>
  <si>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</si>
  <si>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</si>
  <si>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</si>
  <si>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</si>
  <si>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</si>
  <si>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</si>
  <si>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</si>
  <si>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</si>
  <si>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</si>
  <si>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</si>
  <si>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</si>
  <si>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</si>
  <si>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</si>
  <si>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</si>
  <si>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</si>
  <si>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</si>
  <si>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</si>
  <si>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</si>
  <si>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</si>
  <si>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</si>
  <si>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</si>
  <si>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</si>
  <si>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</si>
  <si>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</si>
  <si>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</si>
  <si>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</si>
  <si>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</si>
  <si>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</si>
  <si>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</si>
  <si>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</si>
  <si>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</si>
  <si>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</si>
  <si>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</si>
  <si>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</si>
  <si>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</si>
  <si>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</si>
  <si>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</si>
  <si>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</si>
  <si>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</si>
  <si>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</si>
  <si>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</si>
  <si>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</si>
  <si>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</si>
  <si>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</si>
  <si>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</si>
  <si>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</si>
  <si>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</si>
  <si>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</si>
  <si>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</si>
  <si>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</si>
  <si>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</si>
  <si>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</si>
  <si>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</si>
  <si>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</si>
  <si>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</si>
  <si>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</si>
  <si>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</si>
  <si>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</si>
  <si>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</si>
  <si>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</si>
  <si>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</si>
  <si>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</si>
  <si>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</si>
  <si>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</si>
  <si>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</si>
  <si>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</si>
  <si>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</si>
  <si>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</si>
  <si>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</si>
  <si>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</si>
  <si>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</si>
  <si>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</si>
  <si>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</si>
  <si>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</si>
  <si>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</si>
  <si>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</si>
  <si>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</si>
  <si>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</si>
  <si>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</si>
  <si>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</si>
  <si>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</si>
  <si>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</si>
  <si>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</si>
  <si>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</si>
  <si>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</si>
  <si>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</si>
  <si>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</si>
  <si>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</si>
  <si>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</si>
  <si>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</si>
  <si>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</si>
  <si>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</si>
  <si>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</si>
  <si>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</si>
  <si>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</si>
  <si>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</si>
  <si>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</si>
  <si>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</si>
  <si>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</si>
  <si>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</si>
  <si>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</si>
  <si>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</si>
  <si>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</si>
  <si>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</si>
  <si>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</si>
  <si>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</si>
  <si>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</si>
  <si>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</si>
  <si>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</si>
  <si>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</si>
  <si>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</si>
  <si>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</si>
  <si>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</si>
  <si>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</si>
  <si>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</si>
  <si>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</si>
  <si>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</si>
  <si>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</si>
  <si>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</si>
  <si>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</si>
  <si>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</si>
  <si>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</si>
  <si>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</si>
  <si>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</si>
  <si>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</si>
  <si>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</si>
  <si>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</si>
  <si>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</si>
  <si>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</si>
  <si>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</si>
  <si>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</si>
  <si>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</si>
  <si>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</si>
  <si>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</si>
  <si>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</si>
  <si>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</si>
  <si>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</si>
  <si>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</si>
  <si>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</si>
  <si>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</si>
  <si>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</si>
  <si>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</si>
  <si>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</si>
  <si>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</si>
  <si>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</si>
  <si>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</si>
  <si>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</si>
  <si>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</si>
  <si>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</si>
  <si>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</si>
  <si>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</si>
  <si>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</si>
  <si>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</si>
  <si>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</si>
  <si>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</si>
  <si>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</si>
  <si>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</si>
  <si>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</si>
  <si>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</si>
  <si>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</si>
  <si>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</si>
  <si>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</si>
  <si>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</si>
  <si>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</si>
  <si>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</si>
  <si>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</si>
  <si>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</si>
  <si>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</si>
  <si>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</si>
  <si>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</si>
  <si>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</si>
  <si>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</si>
  <si>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</si>
  <si>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</si>
  <si>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</si>
  <si>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</si>
  <si>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</si>
  <si>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</si>
  <si>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</si>
  <si>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</si>
  <si>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</si>
  <si>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</si>
  <si>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</si>
  <si>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</si>
  <si>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</si>
  <si>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</si>
  <si>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</si>
  <si>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</si>
  <si>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</si>
  <si>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</si>
  <si>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</si>
  <si>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</si>
  <si>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</si>
  <si>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</si>
  <si>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</si>
  <si>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</si>
  <si>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</si>
  <si>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</si>
  <si>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</si>
  <si>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</si>
  <si>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</si>
  <si>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</si>
  <si>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</si>
  <si>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</si>
  <si>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</si>
  <si>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</si>
  <si>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</si>
  <si>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</si>
  <si>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</si>
  <si>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</si>
  <si>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</si>
  <si>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</si>
  <si>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</si>
  <si>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</si>
  <si>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</si>
  <si>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</si>
  <si>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</si>
  <si>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</si>
  <si>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</si>
  <si>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</si>
  <si>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</si>
  <si>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</si>
  <si>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</si>
  <si>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</si>
  <si>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</si>
  <si>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</si>
  <si>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</si>
  <si>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</si>
  <si>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</si>
  <si>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</si>
  <si>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</si>
  <si>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</si>
  <si>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</si>
  <si>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</si>
  <si>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</si>
  <si>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</si>
  <si>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</si>
  <si>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</si>
  <si>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</si>
  <si>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</si>
  <si>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</si>
  <si>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</si>
  <si>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</si>
  <si>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</si>
  <si>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</si>
  <si>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</si>
  <si>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</si>
  <si>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</si>
  <si>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</si>
  <si>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</si>
  <si>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</si>
  <si>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</si>
  <si>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</si>
  <si>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</si>
  <si>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</si>
  <si>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</si>
  <si>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</si>
  <si>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</si>
  <si>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</si>
  <si>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</si>
  <si>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</si>
  <si>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</si>
  <si>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</si>
  <si>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</si>
  <si>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</si>
  <si>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</si>
  <si>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</si>
  <si>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</si>
  <si>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</si>
  <si>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</si>
  <si>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</si>
  <si>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</si>
  <si>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</si>
  <si>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</si>
  <si>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</si>
  <si>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</si>
  <si>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</si>
  <si>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</si>
  <si>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</si>
  <si>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</si>
  <si>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</si>
  <si>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</si>
  <si>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</si>
  <si>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</si>
  <si>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</si>
  <si>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</si>
  <si>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</si>
  <si>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</si>
  <si>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</si>
  <si>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</si>
  <si>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</si>
  <si>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</si>
  <si>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</si>
  <si>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</si>
  <si>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</si>
  <si>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</si>
  <si>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</si>
  <si>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</si>
  <si>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</si>
  <si>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</si>
  <si>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</si>
  <si>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</si>
  <si>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</si>
  <si>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</si>
  <si>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</si>
  <si>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</si>
  <si>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</si>
  <si>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</si>
  <si>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</si>
  <si>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</si>
  <si>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</si>
  <si>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</si>
  <si>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</si>
  <si>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</si>
  <si>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</si>
  <si>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</si>
  <si>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</si>
  <si>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</si>
  <si>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</si>
  <si>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</si>
  <si>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</si>
  <si>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</si>
  <si>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</si>
  <si>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</si>
  <si>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</si>
  <si>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</si>
  <si>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</si>
  <si>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</si>
  <si>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</si>
  <si>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</si>
  <si>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</si>
  <si>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</si>
  <si>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</si>
  <si>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</si>
  <si>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</si>
  <si>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</si>
  <si>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</si>
  <si>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</si>
  <si>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</si>
  <si>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</si>
  <si>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</si>
  <si>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</si>
  <si>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</si>
  <si>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</si>
  <si>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</si>
  <si>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</si>
  <si>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</si>
  <si>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</si>
  <si>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</si>
  <si>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</si>
  <si>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</si>
  <si>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</si>
  <si>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</si>
  <si>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</si>
  <si>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</si>
  <si>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</si>
  <si>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</si>
  <si>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</si>
  <si>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</si>
  <si>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</si>
  <si>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</si>
  <si>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</si>
  <si>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</si>
  <si>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</si>
  <si>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</si>
  <si>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</si>
  <si>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</si>
  <si>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</si>
  <si>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</si>
  <si>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</si>
  <si>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</si>
  <si>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</si>
  <si>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</si>
  <si>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</si>
  <si>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</si>
  <si>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</si>
  <si>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</si>
  <si>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</si>
  <si>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</si>
  <si>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</si>
  <si>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</si>
  <si>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</si>
  <si>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</si>
  <si>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</si>
  <si>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</si>
  <si>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</si>
  <si>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</si>
  <si>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</si>
  <si>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</si>
  <si>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</si>
  <si>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</si>
  <si>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</si>
  <si>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</si>
  <si>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</si>
  <si>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</si>
  <si>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</si>
  <si>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</si>
  <si>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</si>
  <si>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</si>
  <si>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</si>
  <si>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</si>
  <si>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</si>
  <si>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</si>
  <si>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</si>
  <si>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</si>
  <si>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</si>
  <si>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</si>
  <si>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</si>
  <si>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</si>
  <si>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</si>
  <si>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</si>
  <si>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</si>
  <si>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</si>
  <si>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</si>
  <si>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</si>
  <si>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</si>
  <si>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</si>
  <si>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</si>
  <si>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</si>
  <si>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</si>
  <si>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</si>
  <si>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</si>
  <si>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</si>
  <si>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</si>
  <si>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</si>
  <si>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</si>
  <si>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</si>
  <si>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</si>
  <si>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</si>
  <si>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</si>
  <si>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</si>
  <si>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</si>
  <si>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</si>
  <si>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</si>
  <si>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</si>
  <si>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</si>
  <si>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</si>
  <si>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</si>
  <si>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</si>
  <si>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</si>
  <si>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</si>
  <si>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</si>
  <si>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</si>
  <si>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</si>
  <si>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</si>
  <si>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</si>
  <si>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</si>
  <si>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</si>
  <si>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</si>
  <si>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</si>
  <si>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</si>
  <si>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</si>
  <si>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</si>
  <si>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</si>
  <si>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</si>
  <si>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</si>
  <si>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</si>
  <si>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</si>
  <si>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</si>
  <si>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</si>
  <si>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</si>
  <si>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</si>
  <si>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</si>
  <si>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</si>
  <si>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</si>
  <si>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</si>
  <si>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</si>
  <si>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</si>
  <si>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</si>
  <si>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</si>
  <si>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</si>
  <si>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</si>
  <si>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</si>
  <si>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</si>
  <si>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</si>
  <si>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</si>
  <si>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</si>
  <si>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</si>
  <si>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</si>
  <si>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</si>
  <si>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</si>
  <si>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</si>
  <si>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</si>
  <si>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</si>
  <si>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</si>
  <si>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</si>
  <si>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</si>
  <si>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</si>
  <si>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</si>
  <si>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</si>
  <si>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</si>
  <si>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</si>
  <si>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</si>
  <si>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</si>
  <si>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</si>
  <si>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</si>
  <si>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</si>
  <si>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</si>
  <si>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</si>
  <si>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</si>
  <si>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</si>
  <si>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</si>
  <si>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</si>
  <si>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</si>
  <si>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</si>
  <si>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</si>
  <si>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</si>
  <si>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</si>
  <si>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</si>
  <si>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</si>
  <si>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</si>
  <si>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</si>
  <si>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</si>
  <si>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</si>
  <si>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</si>
  <si>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</si>
  <si>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</si>
  <si>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</si>
  <si>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</si>
  <si>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</si>
  <si>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</si>
  <si>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</si>
  <si>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</si>
  <si>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</si>
  <si>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</si>
  <si>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</si>
  <si>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</si>
  <si>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</si>
  <si>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</si>
  <si>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</si>
  <si>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</si>
  <si>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</si>
  <si>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</si>
  <si>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</si>
  <si>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</si>
  <si>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</si>
  <si>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</si>
  <si>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</si>
  <si>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</si>
  <si>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</si>
  <si>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</si>
  <si>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</si>
  <si>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</si>
  <si>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</si>
  <si>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</si>
  <si>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</si>
  <si>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</si>
  <si>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</si>
  <si>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</si>
  <si>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</si>
  <si>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</si>
  <si>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</si>
  <si>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</si>
  <si>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</si>
  <si>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</si>
  <si>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</si>
  <si>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</si>
  <si>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</si>
  <si>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</si>
  <si>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</si>
  <si>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</si>
  <si>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</si>
  <si>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</si>
  <si>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</si>
  <si>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</si>
  <si>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</si>
  <si>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</si>
  <si>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</si>
  <si>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</si>
  <si>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</si>
  <si>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</si>
  <si>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</si>
  <si>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</si>
  <si>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</si>
  <si>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</si>
  <si>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</si>
  <si>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</si>
  <si>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</si>
  <si>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</si>
  <si>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</si>
  <si>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</si>
  <si>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</si>
  <si>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</si>
  <si>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</si>
  <si>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</si>
  <si>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</si>
  <si>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</si>
  <si>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</si>
  <si>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</si>
  <si>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</si>
  <si>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</si>
  <si>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</si>
  <si>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</si>
  <si>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</si>
  <si>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</si>
  <si>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</si>
  <si>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</si>
  <si>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</si>
  <si>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</si>
  <si>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</si>
  <si>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</si>
  <si>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</si>
  <si>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</si>
  <si>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</si>
  <si>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</si>
  <si>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</si>
  <si>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</si>
  <si>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</si>
  <si>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</si>
  <si>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</si>
  <si>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</si>
  <si>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</si>
  <si>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</si>
  <si>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</si>
  <si>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</si>
  <si>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</si>
  <si>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</si>
  <si>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</si>
  <si>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</si>
  <si>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</si>
  <si>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</si>
  <si>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</si>
  <si>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</si>
  <si>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</si>
  <si>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</si>
  <si>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</si>
  <si>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</si>
  <si>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</si>
  <si>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</si>
  <si>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</si>
  <si>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</si>
  <si>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</si>
  <si>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</si>
  <si>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</si>
  <si>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</si>
  <si>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</si>
  <si>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</si>
  <si>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</si>
  <si>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</si>
  <si>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</si>
  <si>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</si>
  <si>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</si>
  <si>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</si>
  <si>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</si>
  <si>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</si>
  <si>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</si>
  <si>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</si>
  <si>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</si>
  <si>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</si>
  <si>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</si>
  <si>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</si>
  <si>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</si>
  <si>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</si>
  <si>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</si>
  <si>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</si>
  <si>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</si>
  <si>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</si>
  <si>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</si>
  <si>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</si>
  <si>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</si>
  <si>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</si>
  <si>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</si>
  <si>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</si>
  <si>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</si>
  <si>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</si>
  <si>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</si>
  <si>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</si>
  <si>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</si>
  <si>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</si>
  <si>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</si>
  <si>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</si>
  <si>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</si>
  <si>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</si>
  <si>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</si>
  <si>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</si>
  <si>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</si>
  <si>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</si>
  <si>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</si>
  <si>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</si>
  <si>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</si>
  <si>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</si>
  <si>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</si>
  <si>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</si>
  <si>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</si>
  <si>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</si>
  <si>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</si>
  <si>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</si>
  <si>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</si>
  <si>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</si>
  <si>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</si>
  <si>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</si>
  <si>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</si>
  <si>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</si>
  <si>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</si>
  <si>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</si>
  <si>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</si>
  <si>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</si>
  <si>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</si>
  <si>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</si>
  <si>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</si>
  <si>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</si>
  <si>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</si>
  <si>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</si>
  <si>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</si>
  <si>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</si>
  <si>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</si>
  <si>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</si>
  <si>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</si>
  <si>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</si>
  <si>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</si>
  <si>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</si>
  <si>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</si>
  <si>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</si>
  <si>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</si>
  <si>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</si>
  <si>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</si>
  <si>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</si>
  <si>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</si>
  <si>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</si>
  <si>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</si>
  <si>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</si>
  <si>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</si>
  <si>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</si>
  <si>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</si>
  <si>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</si>
  <si>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</si>
  <si>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</si>
  <si>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</si>
  <si>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</si>
  <si>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</si>
  <si>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</si>
  <si>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</si>
  <si>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</si>
  <si>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</si>
  <si>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</si>
  <si>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</si>
  <si>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</si>
  <si>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</si>
  <si>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</si>
  <si>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</si>
  <si>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</si>
  <si>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</si>
  <si>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</si>
  <si>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</si>
  <si>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</si>
  <si>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</si>
  <si>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</si>
  <si>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</si>
  <si>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</si>
  <si>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</si>
  <si>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</si>
  <si>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</si>
  <si>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</si>
  <si>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</si>
  <si>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</si>
  <si>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</si>
  <si>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</si>
  <si>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</si>
  <si>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</si>
  <si>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</si>
  <si>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</si>
  <si>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</si>
  <si>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</si>
  <si>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</si>
  <si>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</si>
  <si>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</si>
  <si>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</si>
  <si>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</si>
  <si>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</si>
  <si>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</si>
  <si>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</si>
  <si>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</si>
  <si>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</si>
  <si>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</si>
  <si>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</si>
  <si>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</si>
  <si>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</si>
  <si>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</si>
  <si>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</si>
  <si>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</si>
  <si>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</si>
  <si>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</si>
  <si>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</si>
  <si>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</si>
  <si>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</si>
  <si>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</si>
  <si>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</si>
  <si>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</si>
  <si>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</si>
  <si>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</si>
  <si>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</si>
  <si>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</si>
  <si>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</si>
  <si>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</si>
  <si>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</si>
  <si>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</si>
  <si>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</si>
  <si>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</si>
  <si>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</si>
  <si>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</si>
  <si>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</si>
  <si>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</si>
  <si>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</si>
  <si>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</si>
  <si>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</si>
  <si>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</si>
  <si>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</si>
  <si>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</si>
  <si>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</si>
  <si>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</si>
  <si>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</si>
  <si>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</si>
  <si>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</si>
  <si>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</si>
  <si>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</si>
  <si>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</si>
  <si>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</si>
  <si>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</si>
  <si>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</si>
  <si>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</si>
  <si>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</si>
  <si>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</si>
  <si>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</si>
  <si>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</si>
  <si>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</si>
  <si>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</si>
  <si>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</si>
  <si>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</si>
  <si>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</si>
  <si>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</si>
  <si>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</si>
  <si>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</si>
  <si>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</si>
  <si>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</si>
  <si>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</si>
  <si>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</si>
  <si>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</si>
  <si>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</si>
  <si>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</si>
  <si>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</si>
  <si>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</si>
  <si>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</si>
  <si>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</si>
  <si>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</si>
  <si>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</si>
  <si>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</si>
  <si>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</si>
  <si>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</si>
  <si>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</si>
  <si>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</si>
  <si>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</si>
  <si>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</si>
  <si>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</si>
  <si>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</si>
  <si>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</si>
  <si>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</si>
  <si>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</si>
  <si>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</si>
  <si>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</si>
  <si>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</si>
  <si>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</si>
  <si>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</si>
  <si>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</si>
  <si>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</si>
  <si>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</si>
  <si>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</si>
  <si>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</si>
  <si>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</si>
  <si>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</si>
  <si>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</si>
  <si>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</si>
  <si>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</si>
  <si>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</si>
  <si>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</si>
  <si>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</si>
  <si>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</si>
  <si>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</si>
  <si>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</si>
  <si>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</si>
  <si>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</si>
  <si>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</si>
  <si>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</si>
  <si>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</si>
  <si>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</si>
  <si>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</si>
  <si>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</si>
  <si>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</si>
  <si>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</si>
  <si>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</si>
  <si>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</si>
  <si>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</si>
  <si>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</si>
  <si>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</si>
  <si>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</si>
  <si>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</si>
  <si>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</si>
  <si>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</si>
  <si>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</si>
  <si>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</si>
  <si>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</si>
  <si>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</si>
  <si>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</si>
  <si>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</si>
  <si>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</si>
  <si>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</si>
  <si>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</si>
  <si>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</si>
  <si>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</si>
  <si>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</si>
  <si>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</si>
  <si>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</si>
  <si>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</si>
  <si>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</si>
  <si>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</si>
  <si>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</si>
  <si>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</si>
  <si>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</si>
  <si>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</si>
  <si>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</si>
  <si>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</si>
  <si>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</si>
  <si>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</si>
  <si>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</si>
  <si>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</si>
  <si>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</si>
  <si>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</si>
  <si>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</si>
  <si>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</si>
  <si>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</si>
  <si>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</si>
  <si>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</si>
  <si>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</si>
  <si>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</si>
  <si>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</si>
  <si>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</si>
  <si>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</si>
  <si>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</si>
  <si>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</si>
  <si>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</si>
  <si>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</si>
  <si>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</si>
  <si>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</si>
  <si>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</si>
  <si>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</si>
  <si>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</si>
  <si>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</si>
  <si>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</si>
  <si>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</si>
  <si>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</si>
  <si>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</si>
  <si>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</si>
  <si>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</si>
  <si>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</si>
  <si>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</si>
  <si>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</si>
  <si>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</si>
  <si>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</si>
  <si>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</si>
  <si>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</si>
  <si>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</si>
  <si>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</si>
  <si>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</si>
  <si>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</si>
  <si>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</si>
  <si>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</si>
  <si>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</si>
  <si>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</si>
  <si>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</si>
  <si>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</si>
  <si>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</si>
  <si>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</si>
  <si>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</si>
  <si>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</si>
  <si>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</si>
  <si>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</si>
  <si>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</si>
  <si>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</si>
  <si>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</si>
  <si>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</si>
  <si>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</si>
  <si>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</si>
  <si>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</si>
  <si>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</si>
  <si>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</si>
  <si>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</si>
  <si>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</si>
  <si>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</si>
  <si>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</si>
  <si>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</si>
  <si>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</si>
  <si>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</si>
  <si>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</si>
  <si>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</si>
  <si>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</si>
  <si>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</si>
  <si>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</si>
  <si>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</si>
  <si>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</si>
  <si>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</si>
  <si>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</si>
  <si>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</si>
  <si>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</si>
  <si>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</si>
  <si>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</si>
  <si>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</si>
  <si>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</si>
  <si>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</si>
  <si>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</si>
  <si>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</si>
  <si>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</si>
  <si>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</si>
  <si>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</si>
  <si>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</si>
  <si>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</si>
  <si>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</si>
  <si>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</si>
  <si>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</si>
  <si>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</si>
  <si>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</si>
  <si>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</si>
  <si>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</si>
  <si>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</si>
  <si>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</si>
  <si>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</si>
  <si>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</si>
  <si>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</si>
  <si>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</si>
  <si>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</si>
  <si>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</si>
  <si>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</si>
  <si>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</si>
  <si>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</si>
  <si>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</si>
  <si>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</si>
  <si>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</si>
  <si>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</si>
  <si>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</si>
  <si>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</si>
  <si>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</si>
  <si>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</si>
  <si>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</si>
  <si>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</si>
  <si>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</si>
  <si>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</si>
  <si>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</si>
  <si>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</si>
  <si>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</si>
  <si>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</si>
  <si>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</si>
  <si>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</si>
  <si>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</si>
  <si>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</si>
  <si>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</si>
  <si>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</si>
  <si>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</si>
  <si>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</si>
  <si>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</si>
  <si>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</si>
  <si>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</si>
  <si>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</si>
  <si>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</si>
  <si>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</si>
  <si>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</si>
  <si>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</si>
  <si>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</si>
  <si>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</si>
  <si>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</si>
  <si>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</si>
  <si>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</si>
  <si>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</si>
  <si>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</si>
  <si>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</si>
  <si>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</si>
  <si>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</si>
  <si>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</si>
  <si>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</si>
  <si>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</si>
  <si>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</si>
  <si>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</si>
  <si>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</si>
  <si>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</si>
  <si>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</si>
  <si>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</si>
  <si>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</si>
  <si>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</si>
  <si>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</si>
  <si>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</si>
  <si>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</si>
  <si>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</si>
  <si>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</si>
  <si>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</si>
  <si>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</si>
  <si>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</si>
  <si>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</si>
  <si>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</si>
  <si>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</si>
  <si>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</si>
  <si>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</si>
  <si>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</si>
  <si>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</si>
  <si>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</si>
  <si>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</si>
  <si>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</si>
  <si>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</si>
  <si>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</si>
  <si>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</si>
  <si>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</si>
  <si>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</si>
  <si>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</si>
  <si>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</si>
  <si>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</si>
  <si>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</si>
  <si>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</si>
  <si>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</si>
  <si>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</si>
  <si>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</si>
  <si>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</si>
  <si>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</si>
  <si>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</si>
  <si>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</si>
  <si>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</si>
  <si>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</si>
  <si>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</si>
  <si>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</si>
  <si>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</si>
  <si>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</si>
  <si>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</si>
  <si>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</si>
  <si>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</si>
  <si>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</si>
  <si>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</si>
  <si>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</si>
  <si>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</si>
  <si>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</si>
  <si>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</si>
  <si>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</si>
  <si>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</si>
  <si>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</si>
  <si>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</si>
  <si>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</si>
  <si>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</si>
  <si>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</si>
  <si>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</si>
  <si>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</si>
  <si>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</si>
  <si>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</si>
  <si>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</si>
  <si>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</si>
  <si>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</si>
  <si>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</si>
  <si>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</si>
  <si>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</si>
  <si>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</si>
  <si>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</si>
  <si>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</si>
  <si>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</si>
  <si>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</si>
  <si>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</si>
  <si>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</si>
  <si>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</si>
  <si>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</si>
  <si>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</si>
  <si>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</si>
  <si>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</si>
  <si>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</si>
  <si>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</si>
  <si>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</si>
  <si>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</si>
  <si>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</si>
  <si>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</si>
  <si>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</si>
  <si>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</si>
  <si>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</si>
  <si>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</si>
  <si>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</si>
  <si>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</si>
  <si>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</si>
  <si>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</si>
  <si>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</si>
  <si>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</si>
  <si>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</si>
  <si>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</si>
  <si>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</si>
  <si>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</si>
  <si>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</si>
  <si>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</si>
  <si>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</si>
  <si>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</si>
  <si>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</si>
  <si>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</si>
  <si>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</si>
  <si>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</si>
  <si>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</si>
  <si>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</si>
  <si>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</si>
  <si>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</si>
  <si>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</si>
  <si>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</si>
  <si>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</si>
  <si>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</si>
  <si>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</si>
  <si>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</si>
  <si>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</si>
  <si>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</si>
  <si>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</si>
  <si>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</si>
  <si>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</si>
  <si>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</si>
  <si>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</si>
  <si>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</si>
  <si>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</si>
  <si>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</si>
  <si>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</si>
  <si>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</si>
  <si>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</si>
  <si>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</si>
  <si>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</si>
  <si>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</si>
  <si>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</si>
  <si>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</si>
  <si>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</si>
  <si>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</si>
  <si>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</si>
  <si>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</si>
  <si>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</si>
  <si>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</si>
  <si>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</si>
  <si>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</si>
  <si>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</si>
  <si>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</si>
  <si>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</si>
  <si>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</si>
  <si>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</si>
  <si>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</si>
  <si>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</si>
  <si>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</si>
  <si>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</si>
  <si>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</si>
  <si>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</si>
  <si>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</si>
  <si>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</si>
  <si>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</si>
  <si>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</si>
  <si>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</si>
  <si>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</si>
  <si>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</si>
  <si>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</si>
  <si>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</si>
  <si>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</si>
  <si>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</si>
  <si>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</si>
  <si>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</si>
  <si>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</si>
  <si>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</si>
  <si>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</si>
  <si>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</si>
  <si>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</si>
  <si>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</si>
  <si>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</si>
  <si>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</si>
  <si>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</si>
  <si>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</si>
  <si>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</si>
  <si>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</si>
  <si>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</si>
  <si>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</si>
  <si>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</si>
  <si>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</si>
  <si>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</si>
  <si>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</si>
  <si>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</si>
  <si>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</si>
  <si>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</si>
  <si>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</si>
  <si>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</si>
  <si>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</si>
  <si>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</si>
  <si>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</si>
  <si>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</si>
  <si>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</si>
  <si>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</si>
  <si>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</si>
  <si>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</si>
  <si>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</si>
  <si>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</si>
  <si>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</si>
  <si>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</si>
  <si>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</si>
  <si>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</si>
  <si>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</si>
  <si>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</si>
  <si>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</si>
  <si>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</si>
  <si>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</si>
  <si>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</si>
  <si>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</si>
  <si>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</si>
  <si>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</si>
  <si>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</si>
  <si>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</si>
  <si>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</si>
  <si>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</si>
  <si>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</si>
  <si>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</si>
  <si>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</si>
  <si>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</si>
  <si>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</si>
  <si>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</si>
  <si>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</si>
  <si>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</si>
  <si>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</si>
  <si>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</si>
  <si>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</si>
  <si>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</si>
  <si>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</si>
  <si>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</si>
  <si>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</si>
  <si>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</si>
  <si>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</si>
  <si>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</si>
  <si>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</si>
  <si>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</si>
  <si>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</si>
  <si>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</si>
  <si>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</si>
  <si>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</si>
  <si>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</si>
  <si>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</si>
  <si>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</si>
  <si>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</si>
  <si>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</si>
  <si>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</si>
  <si>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</si>
  <si>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</si>
  <si>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</si>
  <si>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</si>
  <si>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</si>
  <si>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</si>
  <si>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</si>
  <si>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</si>
  <si>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</si>
  <si>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</si>
  <si>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</si>
  <si>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</si>
  <si>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</si>
  <si>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</si>
  <si>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</si>
  <si>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</si>
  <si>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</si>
  <si>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</si>
  <si>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</si>
  <si>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</si>
  <si>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</si>
  <si>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</si>
  <si>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</si>
  <si>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</si>
  <si>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</si>
  <si>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</si>
  <si>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</si>
  <si>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</si>
  <si>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</si>
  <si>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</si>
  <si>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</si>
  <si>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</si>
  <si>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</si>
  <si>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</si>
  <si>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</si>
  <si>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</si>
  <si>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</si>
  <si>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</si>
  <si>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</si>
  <si>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</si>
  <si>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</si>
  <si>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</si>
  <si>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</si>
  <si>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</si>
  <si>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</si>
  <si>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</si>
  <si>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</si>
  <si>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</si>
  <si>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</si>
  <si>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</si>
  <si>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</si>
  <si>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</si>
  <si>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</si>
  <si>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</si>
  <si>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</si>
  <si>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</si>
  <si>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</si>
  <si>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</si>
  <si>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</si>
  <si>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</si>
  <si>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</si>
  <si>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</si>
  <si>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</si>
  <si>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</si>
  <si>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</si>
  <si>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</si>
  <si>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</si>
  <si>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</si>
  <si>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</si>
  <si>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</si>
  <si>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</si>
  <si>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</si>
  <si>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</si>
  <si>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</si>
  <si>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</si>
  <si>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</si>
  <si>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</si>
  <si>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</si>
  <si>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</si>
  <si>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</si>
  <si>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</si>
  <si>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</si>
  <si>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</si>
  <si>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</si>
  <si>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</si>
  <si>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</si>
  <si>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</si>
  <si>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</si>
  <si>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</si>
  <si>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</si>
  <si>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</si>
  <si>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</si>
  <si>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</si>
  <si>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</si>
  <si>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</si>
  <si>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</si>
  <si>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</si>
  <si>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</si>
  <si>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</si>
  <si>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</si>
  <si>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</si>
  <si>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</si>
  <si>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</si>
  <si>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</si>
  <si>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</si>
  <si>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</si>
  <si>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</si>
  <si>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</si>
  <si>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</si>
  <si>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</si>
  <si>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</si>
  <si>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</si>
  <si>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</si>
  <si>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</si>
  <si>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</si>
  <si>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</si>
  <si>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</si>
  <si>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</si>
  <si>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</si>
  <si>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</si>
  <si>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</si>
  <si>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</si>
  <si>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</si>
  <si>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</si>
  <si>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</si>
  <si>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</si>
  <si>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</si>
  <si>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</si>
  <si>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</si>
  <si>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</si>
  <si>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</si>
  <si>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</si>
  <si>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</si>
  <si>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</si>
  <si>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</si>
  <si>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</si>
  <si>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</si>
  <si>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</si>
  <si>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</si>
  <si>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</si>
  <si>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</si>
  <si>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</si>
  <si>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</si>
  <si>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</si>
  <si>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</si>
  <si>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</si>
  <si>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</si>
  <si>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</si>
  <si>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</si>
  <si>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</si>
  <si>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</si>
  <si>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</si>
  <si>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</si>
  <si>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</si>
  <si>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</si>
  <si>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</si>
  <si>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</si>
  <si>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</si>
  <si>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</si>
  <si>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</si>
  <si>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</si>
  <si>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</si>
  <si>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</si>
  <si>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</si>
  <si>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</si>
  <si>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</si>
  <si>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</si>
  <si>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</si>
  <si>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</si>
  <si>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</si>
  <si>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</si>
  <si>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</si>
  <si>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</si>
  <si>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</si>
  <si>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</si>
  <si>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</si>
  <si>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</si>
  <si>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</si>
  <si>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</si>
  <si>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</si>
  <si>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</si>
  <si>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</si>
  <si>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</si>
  <si>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</si>
  <si>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</si>
  <si>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</si>
  <si>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</si>
  <si>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</si>
  <si>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</si>
  <si>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</si>
  <si>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</si>
  <si>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</si>
  <si>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</si>
  <si>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</si>
  <si>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</si>
  <si>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</si>
  <si>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</si>
  <si>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</si>
  <si>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</si>
  <si>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</si>
  <si>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</si>
  <si>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</si>
  <si>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</si>
  <si>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</si>
  <si>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</si>
  <si>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</si>
  <si>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</si>
  <si>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</si>
  <si>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</si>
  <si>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</si>
  <si>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</si>
  <si>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</si>
  <si>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</si>
  <si>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</si>
  <si>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</si>
  <si>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</si>
  <si>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</si>
  <si>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</si>
  <si>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</si>
  <si>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</si>
  <si>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</si>
  <si>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</si>
  <si>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</si>
  <si>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</si>
  <si>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</si>
  <si>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</si>
  <si>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</si>
  <si>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</si>
  <si>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</si>
  <si>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</si>
  <si>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</si>
  <si>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</si>
  <si>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</si>
  <si>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</si>
  <si>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</si>
  <si>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</si>
  <si>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</si>
  <si>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</si>
  <si>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</si>
  <si>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</si>
  <si>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</si>
  <si>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</si>
  <si>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</si>
  <si>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</si>
  <si>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</si>
  <si>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</si>
  <si>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</si>
  <si>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</si>
  <si>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</si>
  <si>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</si>
  <si>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</si>
  <si>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</si>
  <si>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</si>
  <si>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</si>
  <si>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</si>
  <si>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</si>
  <si>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</si>
  <si>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</si>
  <si>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</si>
  <si>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</si>
  <si>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</si>
  <si>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</si>
  <si>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</si>
  <si>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</si>
  <si>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</si>
  <si>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</si>
  <si>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</si>
  <si>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</si>
  <si>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</si>
  <si>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</si>
  <si>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</si>
  <si>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</si>
  <si>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</si>
  <si>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</si>
  <si>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</si>
  <si>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</si>
  <si>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</si>
  <si>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</si>
  <si>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</si>
  <si>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</si>
  <si>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</si>
  <si>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</si>
  <si>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</si>
  <si>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</si>
  <si>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</si>
  <si>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</si>
  <si>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</si>
  <si>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</si>
  <si>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</si>
  <si>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</si>
  <si>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</si>
  <si>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</si>
  <si>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</si>
  <si>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</si>
  <si>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</si>
  <si>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</si>
  <si>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</si>
  <si>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</si>
  <si>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</si>
  <si>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</si>
  <si>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</si>
  <si>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</si>
  <si>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</si>
  <si>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</si>
  <si>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</si>
  <si>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</si>
  <si>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</si>
  <si>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</si>
  <si>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</si>
  <si>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</si>
  <si>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</si>
  <si>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</si>
  <si>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</si>
  <si>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</si>
  <si>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</si>
  <si>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</si>
  <si>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</si>
  <si>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</si>
  <si>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</si>
  <si>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</si>
  <si>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</si>
  <si>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</si>
  <si>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</si>
  <si>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</si>
  <si>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</si>
  <si>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</si>
  <si>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</si>
  <si>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</si>
  <si>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</si>
  <si>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</si>
  <si>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</si>
  <si>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</si>
  <si>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</si>
  <si>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</si>
  <si>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</si>
  <si>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</si>
  <si>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</si>
  <si>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</si>
  <si>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</si>
  <si>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</si>
  <si>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</si>
  <si>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</si>
  <si>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</si>
  <si>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</si>
  <si>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</si>
  <si>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</si>
  <si>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</si>
  <si>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</si>
  <si>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</si>
  <si>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</si>
  <si>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</si>
  <si>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</si>
  <si>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</si>
  <si>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</si>
  <si>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</si>
  <si>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</si>
  <si>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</si>
  <si>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</si>
  <si>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</si>
  <si>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</si>
  <si>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</si>
  <si>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</si>
  <si>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</si>
  <si>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</si>
  <si>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</si>
  <si>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</si>
  <si>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</si>
  <si>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</si>
  <si>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</si>
  <si>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</si>
  <si>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</si>
  <si>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</si>
  <si>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</si>
  <si>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</si>
  <si>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</si>
  <si>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</si>
  <si>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</si>
  <si>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</si>
  <si>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</si>
  <si>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</si>
  <si>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</si>
  <si>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</si>
  <si>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</si>
  <si>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</si>
  <si>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</si>
  <si>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</si>
  <si>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</si>
  <si>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</si>
  <si>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</si>
  <si>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</si>
  <si>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</si>
  <si>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</si>
  <si>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</si>
  <si>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</si>
  <si>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</si>
  <si>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</si>
  <si>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</si>
  <si>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</si>
  <si>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</si>
  <si>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</si>
  <si>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</si>
  <si>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</si>
  <si>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</si>
  <si>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</si>
  <si>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</si>
  <si>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</si>
  <si>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</si>
  <si>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</si>
  <si>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</si>
  <si>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</si>
  <si>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</si>
  <si>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</si>
  <si>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</si>
  <si>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</si>
  <si>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</si>
  <si>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</si>
  <si>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</si>
  <si>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</si>
  <si>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</si>
  <si>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</si>
  <si>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</si>
  <si>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</si>
  <si>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</si>
  <si>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</si>
  <si>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</si>
  <si>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</si>
  <si>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</si>
  <si>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</si>
  <si>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</si>
  <si>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</si>
  <si>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</si>
  <si>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</si>
  <si>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</si>
  <si>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</si>
  <si>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</si>
  <si>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</si>
  <si>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</si>
  <si>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</si>
  <si>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</si>
  <si>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</si>
  <si>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</si>
  <si>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</si>
  <si>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</si>
  <si>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</si>
  <si>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</si>
  <si>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</si>
  <si>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</si>
  <si>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</si>
  <si>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</si>
  <si>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</si>
  <si>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</si>
  <si>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</si>
  <si>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</si>
  <si>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</si>
  <si>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</si>
  <si>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</si>
  <si>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</si>
  <si>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</si>
  <si>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</si>
  <si>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</si>
  <si>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</si>
  <si>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</si>
  <si>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</si>
  <si>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</si>
  <si>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</si>
  <si>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</si>
  <si>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</si>
  <si>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</si>
  <si>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</si>
  <si>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</si>
  <si>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</si>
  <si>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</si>
  <si>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</si>
  <si>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</si>
  <si>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</si>
  <si>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</si>
  <si>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</si>
  <si>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</si>
  <si>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</si>
  <si>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</si>
  <si>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</si>
  <si>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</si>
  <si>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</si>
  <si>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</si>
  <si>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</si>
  <si>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</si>
  <si>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</si>
  <si>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</si>
  <si>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</si>
  <si>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</si>
  <si>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</si>
  <si>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</si>
  <si>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</si>
  <si>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</si>
  <si>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</si>
  <si>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</si>
  <si>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</si>
  <si>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</si>
  <si>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</si>
  <si>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</si>
  <si>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</si>
  <si>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</si>
  <si>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</si>
  <si>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</si>
  <si>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</si>
  <si>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</si>
  <si>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</si>
  <si>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</si>
  <si>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</si>
  <si>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</si>
  <si>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</si>
  <si>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</si>
  <si>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</si>
  <si>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</si>
  <si>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</si>
  <si>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</si>
  <si>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</si>
  <si>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</si>
  <si>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</si>
  <si>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</si>
  <si>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</si>
  <si>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</si>
  <si>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</si>
  <si>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</si>
  <si>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</si>
  <si>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</si>
  <si>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</si>
  <si>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</si>
  <si>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</si>
  <si>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</si>
  <si>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</si>
  <si>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</si>
  <si>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</si>
  <si>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</si>
  <si>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</si>
  <si>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</si>
  <si>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</si>
  <si>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</si>
  <si>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</si>
  <si>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</si>
  <si>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</si>
  <si>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</si>
  <si>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</si>
  <si>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</si>
  <si>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</si>
  <si>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</si>
  <si>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</si>
  <si>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</si>
  <si>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</si>
  <si>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</si>
  <si>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</si>
  <si>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</si>
  <si>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</si>
  <si>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</si>
  <si>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</si>
  <si>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</si>
  <si>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</si>
  <si>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</si>
  <si>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</si>
  <si>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</si>
  <si>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</si>
  <si>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</si>
  <si>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</si>
  <si>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</si>
  <si>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</si>
  <si>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</si>
  <si>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</si>
  <si>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</si>
  <si>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</si>
  <si>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</si>
  <si>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</si>
  <si>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</si>
  <si>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</si>
  <si>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</si>
  <si>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</si>
  <si>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</si>
  <si>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</si>
  <si>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</si>
  <si>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</si>
  <si>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</si>
  <si>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</si>
  <si>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</si>
  <si>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</si>
  <si>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</si>
  <si>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</si>
  <si>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</si>
  <si>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</si>
  <si>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</si>
  <si>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</si>
  <si>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</si>
  <si>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</si>
  <si>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</si>
  <si>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</si>
  <si>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</si>
  <si>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</si>
  <si>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</si>
  <si>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</si>
  <si>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</si>
  <si>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</si>
  <si>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</si>
  <si>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</si>
  <si>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</si>
  <si>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</si>
  <si>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</si>
  <si>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</si>
  <si>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</si>
  <si>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</si>
  <si>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</si>
  <si>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</si>
  <si>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</si>
  <si>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</si>
  <si>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</si>
  <si>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</si>
  <si>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</si>
  <si>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</si>
  <si>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</si>
  <si>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</si>
  <si>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</si>
  <si>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</si>
  <si>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</si>
  <si>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</si>
  <si>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</si>
  <si>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</si>
  <si>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</si>
  <si>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</si>
  <si>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</si>
  <si>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</si>
  <si>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</si>
  <si>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</si>
  <si>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</si>
  <si>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</si>
  <si>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</si>
  <si>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</si>
  <si>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</si>
  <si>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</si>
  <si>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</si>
  <si>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</si>
  <si>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</si>
  <si>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</si>
  <si>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</si>
  <si>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</si>
  <si>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</si>
  <si>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</si>
  <si>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</si>
  <si>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</si>
  <si>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</si>
  <si>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</si>
  <si>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</si>
  <si>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</si>
  <si>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</si>
  <si>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</si>
  <si>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</si>
  <si>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</si>
  <si>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</si>
  <si>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</si>
  <si>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</si>
  <si>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</si>
  <si>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</si>
  <si>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</si>
  <si>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</si>
  <si>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</si>
  <si>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</si>
  <si>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</si>
  <si>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</si>
  <si>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</si>
  <si>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</si>
  <si>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</si>
  <si>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</si>
  <si>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</si>
  <si>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</si>
  <si>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</si>
  <si>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</si>
  <si>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</si>
  <si>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</si>
  <si>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</si>
  <si>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</si>
  <si>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</si>
  <si>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</si>
  <si>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</si>
  <si>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</si>
  <si>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</si>
  <si>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</si>
  <si>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</si>
  <si>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</si>
  <si>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</si>
  <si>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</si>
  <si>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</si>
  <si>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</si>
  <si>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</si>
  <si>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</si>
  <si>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</si>
  <si>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</si>
  <si>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</si>
  <si>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</si>
  <si>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</si>
  <si>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</si>
  <si>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</si>
  <si>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</si>
  <si>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</si>
  <si>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</si>
  <si>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</si>
  <si>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</si>
  <si>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</si>
  <si>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</si>
  <si>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</si>
  <si>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</si>
  <si>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</si>
  <si>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</si>
  <si>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</si>
  <si>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</si>
  <si>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</si>
  <si>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</si>
  <si>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</si>
  <si>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</si>
  <si>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</si>
  <si>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</si>
  <si>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</si>
  <si>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</si>
  <si>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</si>
  <si>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</si>
  <si>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</si>
  <si>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</si>
  <si>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</si>
  <si>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</si>
  <si>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</si>
  <si>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</si>
  <si>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</si>
  <si>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</si>
  <si>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</si>
  <si>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</si>
  <si>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</si>
  <si>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</si>
  <si>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</si>
  <si>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</si>
  <si>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</si>
  <si>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</si>
  <si>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</si>
  <si>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</si>
  <si>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</si>
  <si>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</si>
  <si>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</si>
  <si>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</si>
  <si>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</si>
  <si>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</si>
  <si>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</si>
  <si>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</si>
  <si>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</si>
  <si>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</si>
  <si>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</si>
  <si>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</si>
  <si>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</si>
  <si>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</si>
  <si>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</si>
  <si>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</si>
  <si>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</si>
  <si>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</si>
  <si>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</si>
  <si>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</si>
  <si>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</si>
  <si>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</si>
  <si>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</si>
  <si>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</si>
  <si>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</si>
  <si>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</si>
  <si>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</si>
  <si>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</si>
  <si>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</si>
  <si>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</si>
  <si>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</si>
  <si>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</si>
  <si>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</si>
  <si>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</si>
  <si>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</si>
  <si>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</si>
  <si>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</si>
  <si>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</si>
  <si>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</si>
  <si>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</si>
  <si>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</si>
  <si>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</si>
  <si>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</si>
  <si>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</si>
  <si>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</si>
  <si>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</si>
  <si>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</si>
  <si>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</si>
  <si>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</si>
  <si>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</si>
  <si>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</si>
  <si>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</si>
  <si>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</si>
  <si>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</si>
  <si>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</si>
  <si>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</si>
  <si>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</si>
  <si>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</si>
  <si>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</si>
  <si>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</si>
  <si>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</si>
  <si>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</si>
  <si>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</si>
  <si>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</si>
  <si>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</si>
  <si>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</si>
  <si>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</si>
  <si>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</si>
  <si>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</si>
  <si>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</si>
  <si>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</si>
  <si>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</si>
  <si>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</si>
  <si>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</si>
  <si>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</si>
  <si>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</si>
  <si>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</si>
  <si>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</si>
  <si>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</si>
  <si>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</si>
  <si>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</si>
  <si>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</si>
  <si>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</si>
  <si>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</si>
  <si>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</si>
  <si>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</si>
  <si>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</si>
  <si>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</si>
  <si>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</si>
  <si>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</si>
  <si>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</si>
  <si>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</si>
  <si>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</si>
  <si>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</si>
  <si>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</si>
  <si>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</si>
  <si>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</si>
  <si>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</si>
  <si>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</si>
  <si>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</si>
  <si>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</si>
  <si>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</si>
  <si>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</si>
  <si>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</si>
  <si>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</si>
  <si>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</si>
  <si>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</si>
  <si>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</si>
  <si>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</si>
  <si>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</si>
  <si>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</si>
  <si>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</si>
  <si>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</si>
  <si>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</si>
  <si>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</si>
  <si>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</si>
  <si>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</si>
  <si>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</si>
  <si>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</si>
  <si>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</si>
  <si>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</si>
  <si>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</si>
  <si>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</si>
  <si>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</si>
  <si>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</si>
  <si>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</si>
  <si>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</si>
  <si>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</si>
  <si>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</si>
  <si>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</si>
  <si>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</si>
  <si>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</si>
  <si>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</si>
  <si>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</si>
  <si>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</si>
  <si>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</si>
  <si>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</si>
  <si>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</si>
  <si>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</si>
  <si>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</si>
  <si>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</si>
  <si>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</si>
  <si>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</si>
  <si>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</si>
  <si>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</si>
  <si>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</si>
  <si>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</si>
  <si>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</si>
  <si>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</si>
  <si>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</si>
  <si>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</si>
  <si>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</si>
  <si>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</si>
  <si>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</si>
  <si>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</si>
  <si>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</si>
  <si>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</si>
  <si>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</si>
  <si>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</si>
  <si>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</si>
  <si>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</si>
  <si>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</si>
  <si>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</si>
  <si>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</si>
  <si>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</si>
  <si>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</si>
  <si>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</si>
  <si>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</si>
  <si>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</si>
  <si>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</si>
  <si>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</si>
  <si>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</si>
  <si>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</si>
  <si>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</si>
  <si>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</si>
  <si>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</si>
  <si>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</si>
  <si>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</si>
  <si>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</si>
  <si>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</si>
  <si>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</si>
  <si>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</si>
  <si>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</si>
  <si>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</si>
  <si>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</si>
  <si>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</si>
  <si>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</si>
  <si>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</si>
  <si>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</si>
  <si>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</si>
  <si>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</si>
  <si>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</si>
  <si>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</si>
  <si>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</si>
  <si>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</si>
  <si>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</si>
  <si>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</si>
  <si>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</si>
  <si>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</si>
  <si>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</si>
  <si>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</si>
  <si>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</si>
  <si>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</si>
  <si>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</si>
  <si>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</si>
  <si>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</si>
  <si>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</si>
  <si>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</si>
  <si>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</si>
  <si>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</si>
  <si>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</si>
  <si>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</si>
  <si>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</si>
  <si>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</si>
  <si>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</si>
  <si>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</si>
  <si>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</si>
  <si>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</si>
  <si>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</si>
  <si>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</si>
  <si>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</si>
  <si>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</si>
  <si>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</si>
  <si>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</si>
  <si>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</si>
  <si>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</si>
  <si>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</si>
  <si>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</si>
  <si>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</si>
  <si>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</si>
  <si>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</si>
  <si>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</si>
  <si>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</si>
  <si>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</si>
  <si>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</si>
  <si>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</si>
  <si>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</si>
  <si>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</si>
  <si>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</si>
  <si>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</si>
  <si>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</si>
  <si>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</si>
  <si>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</si>
  <si>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</si>
  <si>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</si>
  <si>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</si>
  <si>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</si>
  <si>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</si>
  <si>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</si>
  <si>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</si>
  <si>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</si>
  <si>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</si>
  <si>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</si>
  <si>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</si>
  <si>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</si>
  <si>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</si>
  <si>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</si>
  <si>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</si>
  <si>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</si>
  <si>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</si>
  <si>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</si>
  <si>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</si>
  <si>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</si>
  <si>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</si>
  <si>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</si>
  <si>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</si>
  <si>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</si>
  <si>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</si>
  <si>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</si>
  <si>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</si>
  <si>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</si>
  <si>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</si>
  <si>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</si>
  <si>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</si>
  <si>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</si>
  <si>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</si>
  <si>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</si>
  <si>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</si>
  <si>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</si>
  <si>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</si>
  <si>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</si>
  <si>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</si>
  <si>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</si>
  <si>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</si>
  <si>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</si>
  <si>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</si>
  <si>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</si>
  <si>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</si>
  <si>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</si>
  <si>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</si>
  <si>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</si>
  <si>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</si>
  <si>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</si>
  <si>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</si>
  <si>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</si>
  <si>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</si>
  <si>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</si>
  <si>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</si>
  <si>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</si>
  <si>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</si>
  <si>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</si>
  <si>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</si>
  <si>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</si>
  <si>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</si>
  <si>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</si>
  <si>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</si>
  <si>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</si>
  <si>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</si>
  <si>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</si>
  <si>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</si>
  <si>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</si>
  <si>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</si>
  <si>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</si>
  <si>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</si>
  <si>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</si>
  <si>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</si>
  <si>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</si>
  <si>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</si>
  <si>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</si>
  <si>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</si>
  <si>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</si>
  <si>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</si>
  <si>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</si>
  <si>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</si>
  <si>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</si>
  <si>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</si>
  <si>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</si>
  <si>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</si>
  <si>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</si>
  <si>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</si>
  <si>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</si>
  <si>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</si>
  <si>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</si>
  <si>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</si>
  <si>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</si>
  <si>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</si>
  <si>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</si>
  <si>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</si>
  <si>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</si>
  <si>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</si>
  <si>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</si>
  <si>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</si>
  <si>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</si>
  <si>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</si>
  <si>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</si>
  <si>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</si>
  <si>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</si>
  <si>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</si>
  <si>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</si>
  <si>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</si>
  <si>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</si>
  <si>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</si>
  <si>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</si>
  <si>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</si>
  <si>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</si>
  <si>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</si>
  <si>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</si>
  <si>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</si>
  <si>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</si>
  <si>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</si>
  <si>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</si>
  <si>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</si>
  <si>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</si>
  <si>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</si>
  <si>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</si>
  <si>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</si>
  <si>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</si>
  <si>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</si>
  <si>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</si>
  <si>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</si>
  <si>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</si>
  <si>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</si>
  <si>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</si>
  <si>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</si>
  <si>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</si>
  <si>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</si>
  <si>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</si>
  <si>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</si>
  <si>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</si>
  <si>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</si>
  <si>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</si>
  <si>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</si>
  <si>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</si>
  <si>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</si>
  <si>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</si>
  <si>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</si>
  <si>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</si>
  <si>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</si>
  <si>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</si>
  <si>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</si>
  <si>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</si>
  <si>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</si>
  <si>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</si>
  <si>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</si>
  <si>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</si>
  <si>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</si>
  <si>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</si>
  <si>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</si>
  <si>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</si>
  <si>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</si>
  <si>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</si>
  <si>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</si>
  <si>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</si>
  <si>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</si>
  <si>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</si>
  <si>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</si>
  <si>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</si>
  <si>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</si>
  <si>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</si>
  <si>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</si>
  <si>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</si>
  <si>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</si>
  <si>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</si>
  <si>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</si>
  <si>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</si>
  <si>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</si>
  <si>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</si>
  <si>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</si>
  <si>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</si>
  <si>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</si>
  <si>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</si>
  <si>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</si>
  <si>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</si>
  <si>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</si>
  <si>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</si>
  <si>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</si>
  <si>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</si>
  <si>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</si>
  <si>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</si>
  <si>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</si>
  <si>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</si>
  <si>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</si>
  <si>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</si>
  <si>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</si>
  <si>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</si>
  <si>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</si>
  <si>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</si>
  <si>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</si>
  <si>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</si>
  <si>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</si>
  <si>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</si>
  <si>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</si>
  <si>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</si>
  <si>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</si>
  <si>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</si>
  <si>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</si>
  <si>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</si>
  <si>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</si>
  <si>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</si>
  <si>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</si>
  <si>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</si>
  <si>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</si>
  <si>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</si>
  <si>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</si>
  <si>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</si>
  <si>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</si>
  <si>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</si>
  <si>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</si>
  <si>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</si>
  <si>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</si>
  <si>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</si>
  <si>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</si>
  <si>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</si>
  <si>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</si>
  <si>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</si>
  <si>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</si>
  <si>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</si>
  <si>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</si>
  <si>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</si>
  <si>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</si>
  <si>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</si>
  <si>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</si>
  <si>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</si>
  <si>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</si>
  <si>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</si>
  <si>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</si>
  <si>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</si>
  <si>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</si>
  <si>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</si>
  <si>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</si>
  <si>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</si>
  <si>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</si>
  <si>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</si>
  <si>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</si>
  <si>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</si>
  <si>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</si>
  <si>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</si>
  <si>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</si>
  <si>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</si>
  <si>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</si>
  <si>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</si>
  <si>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</si>
  <si>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</si>
  <si>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</si>
  <si>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</si>
  <si>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</si>
  <si>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</si>
  <si>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</si>
  <si>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</si>
  <si>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</si>
  <si>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</si>
  <si>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</si>
  <si>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</si>
  <si>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</si>
  <si>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</si>
  <si>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</si>
  <si>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</si>
  <si>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</si>
  <si>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</si>
  <si>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</si>
  <si>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</si>
  <si>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</si>
  <si>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</si>
  <si>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</si>
  <si>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</si>
  <si>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</si>
  <si>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</si>
  <si>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</si>
  <si>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</si>
  <si>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</si>
  <si>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</si>
  <si>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</si>
  <si>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</si>
  <si>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</si>
  <si>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</si>
  <si>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</si>
  <si>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</si>
  <si>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</si>
  <si>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</si>
  <si>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</si>
  <si>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</si>
  <si>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</si>
  <si>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</si>
  <si>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</si>
  <si>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</si>
  <si>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</si>
  <si>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</si>
  <si>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</si>
  <si>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</si>
  <si>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</si>
  <si>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</si>
  <si>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</si>
  <si>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</si>
  <si>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</si>
  <si>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</si>
  <si>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</si>
  <si>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</si>
  <si>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</si>
  <si>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</si>
  <si>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</si>
  <si>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</si>
  <si>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</si>
  <si>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</si>
  <si>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</si>
  <si>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</si>
  <si>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</si>
  <si>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</si>
  <si>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</si>
  <si>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</si>
  <si>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</si>
  <si>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</si>
  <si>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</si>
  <si>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</si>
  <si>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</si>
  <si>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</si>
  <si>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</si>
  <si>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</si>
  <si>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</si>
  <si>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</si>
  <si>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</si>
  <si>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</si>
  <si>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</si>
  <si>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</si>
  <si>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</si>
  <si>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</si>
  <si>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</si>
  <si>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</si>
  <si>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</si>
  <si>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</si>
  <si>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</si>
  <si>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</si>
  <si>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</si>
  <si>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</si>
  <si>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</si>
  <si>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</si>
  <si>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</si>
  <si>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</si>
  <si>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</si>
  <si>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</si>
  <si>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</si>
  <si>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</si>
  <si>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</si>
  <si>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</si>
  <si>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</si>
  <si>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</si>
  <si>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</si>
  <si>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</si>
  <si>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</si>
  <si>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</si>
  <si>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</si>
  <si>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</si>
  <si>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</si>
  <si>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</si>
  <si>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</si>
  <si>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</si>
  <si>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</si>
  <si>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</si>
  <si>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</si>
  <si>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</si>
  <si>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</si>
  <si>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</si>
  <si>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</si>
  <si>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</si>
  <si>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</si>
  <si>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</si>
  <si>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</si>
  <si>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</si>
  <si>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</si>
  <si>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</si>
  <si>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</si>
  <si>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</si>
  <si>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</si>
  <si>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</si>
  <si>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</si>
  <si>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</si>
  <si>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</si>
  <si>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</si>
  <si>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</si>
  <si>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</si>
  <si>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</si>
  <si>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</si>
  <si>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</si>
  <si>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</si>
  <si>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</si>
  <si>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</si>
  <si>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</si>
  <si>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</si>
  <si>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</si>
  <si>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</si>
  <si>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</si>
  <si>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</si>
  <si>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</si>
  <si>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</si>
  <si>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</si>
  <si>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</si>
  <si>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</si>
  <si>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</si>
  <si>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</si>
  <si>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</si>
  <si>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</si>
  <si>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</si>
  <si>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</si>
  <si>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</si>
  <si>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</si>
  <si>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</si>
  <si>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</si>
  <si>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</si>
  <si>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</si>
  <si>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</si>
  <si>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</si>
  <si>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</si>
  <si>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</si>
  <si>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</si>
  <si>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</si>
  <si>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</si>
  <si>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</si>
  <si>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</si>
  <si>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</si>
  <si>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</si>
  <si>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</si>
  <si>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</si>
  <si>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</si>
  <si>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</si>
  <si>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</si>
  <si>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</si>
  <si>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</si>
  <si>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</si>
  <si>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</si>
  <si>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</si>
  <si>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</si>
  <si>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</si>
  <si>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</si>
  <si>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</si>
  <si>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</si>
  <si>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</si>
  <si>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</si>
  <si>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</si>
  <si>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</si>
  <si>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</si>
  <si>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</si>
  <si>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</si>
  <si>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</si>
  <si>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</si>
  <si>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</si>
  <si>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</si>
  <si>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</si>
  <si>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</si>
  <si>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</si>
  <si>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</si>
  <si>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</si>
  <si>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</si>
  <si>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</si>
  <si>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</si>
  <si>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</si>
  <si>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</si>
  <si>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</si>
  <si>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</si>
  <si>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</si>
  <si>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</si>
  <si>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</si>
  <si>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</si>
  <si>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</si>
  <si>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</si>
  <si>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</si>
  <si>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</si>
  <si>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</si>
  <si>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</si>
  <si>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</si>
  <si>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</si>
  <si>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</si>
  <si>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</si>
  <si>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</si>
  <si>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</si>
  <si>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</si>
  <si>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</si>
  <si>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</si>
  <si>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</si>
  <si>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</si>
  <si>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</si>
  <si>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</si>
  <si>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</si>
  <si>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</si>
  <si>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</si>
  <si>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</si>
  <si>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</si>
  <si>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</si>
  <si>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</si>
  <si>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</si>
  <si>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</si>
  <si>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</si>
  <si>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</si>
  <si>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</si>
  <si>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</si>
  <si>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</si>
  <si>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</si>
  <si>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</si>
  <si>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</si>
  <si>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</si>
  <si>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</si>
  <si>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</si>
  <si>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</si>
  <si>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</si>
  <si>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</si>
  <si>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</si>
  <si>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</si>
  <si>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</si>
  <si>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</si>
  <si>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</si>
  <si>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</si>
  <si>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</si>
  <si>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</si>
  <si>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</si>
  <si>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</si>
  <si>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</si>
  <si>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</si>
  <si>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</si>
  <si>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</si>
  <si>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</si>
  <si>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</si>
  <si>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</si>
  <si>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</si>
  <si>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</si>
  <si>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</si>
  <si>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</si>
  <si>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</si>
  <si>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</si>
  <si>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</si>
  <si>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</si>
  <si>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</si>
  <si>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</si>
  <si>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</si>
  <si>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</si>
  <si>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</si>
  <si>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</si>
  <si>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</si>
  <si>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</si>
  <si>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</si>
  <si>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</si>
  <si>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</si>
  <si>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</si>
  <si>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</si>
  <si>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</si>
  <si>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</si>
  <si>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</si>
  <si>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</si>
  <si>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</si>
  <si>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</si>
  <si>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</si>
  <si>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</si>
  <si>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</si>
  <si>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</si>
  <si>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</si>
  <si>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</si>
  <si>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</si>
  <si>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</si>
  <si>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</si>
  <si>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</si>
  <si>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</si>
  <si>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</si>
  <si>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</si>
  <si>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</si>
  <si>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</si>
  <si>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</si>
  <si>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</si>
  <si>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</si>
  <si>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</si>
  <si>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</si>
  <si>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</si>
  <si>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</si>
  <si>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</si>
  <si>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</si>
  <si>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</si>
  <si>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</si>
  <si>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</si>
  <si>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</si>
  <si>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</si>
  <si>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</si>
  <si>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</si>
  <si>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</si>
  <si>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</si>
  <si>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</si>
  <si>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</si>
  <si>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</si>
  <si>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</si>
  <si>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</si>
  <si>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</si>
  <si>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</si>
  <si>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</si>
  <si>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</si>
  <si>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</si>
  <si>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</si>
  <si>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</si>
  <si>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</si>
  <si>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</si>
  <si>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</si>
  <si>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</si>
  <si>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</si>
  <si>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</si>
  <si>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</si>
  <si>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</si>
  <si>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</si>
  <si>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</si>
  <si>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</si>
  <si>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</si>
  <si>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</si>
  <si>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</si>
  <si>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</si>
  <si>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</si>
  <si>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</si>
  <si>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</si>
  <si>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</si>
  <si>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</si>
  <si>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</si>
  <si>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</si>
  <si>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</si>
  <si>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</si>
  <si>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</si>
  <si>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</si>
  <si>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</si>
  <si>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</si>
  <si>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</si>
  <si>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</si>
  <si>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</si>
  <si>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</si>
  <si>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</si>
  <si>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</si>
  <si>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</si>
  <si>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</si>
  <si>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</si>
  <si>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</si>
  <si>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</si>
  <si>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</si>
  <si>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</si>
  <si>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</si>
  <si>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</si>
  <si>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</si>
  <si>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</si>
  <si>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</si>
  <si>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</si>
  <si>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</si>
  <si>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</si>
  <si>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</si>
  <si>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</si>
  <si>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</si>
  <si>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</si>
  <si>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</si>
  <si>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</si>
  <si>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</si>
  <si>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</si>
  <si>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</si>
  <si>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</si>
  <si>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</si>
  <si>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</si>
  <si>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</si>
  <si>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</si>
  <si>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</si>
  <si>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</si>
  <si>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</si>
  <si>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</si>
  <si>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</si>
  <si>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</si>
  <si>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</si>
  <si>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</si>
  <si>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</si>
  <si>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</si>
  <si>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</si>
  <si>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</si>
  <si>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</si>
  <si>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</si>
  <si>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</si>
  <si>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</si>
  <si>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</si>
  <si>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</si>
  <si>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</si>
  <si>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</si>
  <si>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</si>
  <si>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</si>
  <si>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</si>
  <si>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</si>
  <si>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</si>
  <si>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</si>
  <si>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</si>
  <si>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</si>
  <si>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</si>
  <si>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</si>
  <si>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</si>
  <si>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</si>
  <si>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</si>
  <si>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</si>
  <si>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</si>
  <si>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</si>
  <si>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</si>
  <si>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</si>
  <si>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</si>
  <si>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</si>
  <si>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</si>
  <si>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</si>
  <si>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</si>
  <si>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</si>
  <si>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</si>
  <si>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</si>
  <si>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</si>
  <si>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</si>
  <si>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</si>
  <si>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</si>
  <si>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</si>
  <si>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</si>
  <si>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</si>
  <si>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</si>
  <si>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</si>
  <si>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</si>
  <si>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</si>
  <si>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</si>
  <si>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</si>
  <si>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</si>
  <si>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</si>
  <si>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</si>
  <si>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</si>
  <si>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</si>
  <si>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</si>
  <si>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</si>
  <si>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</si>
  <si>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</si>
  <si>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</si>
  <si>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</si>
  <si>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</si>
  <si>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</si>
  <si>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</si>
  <si>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</si>
  <si>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</si>
  <si>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</si>
  <si>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</si>
  <si>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</si>
  <si>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</si>
  <si>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</si>
  <si>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</si>
  <si>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</si>
  <si>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</si>
  <si>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</si>
  <si>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</si>
  <si>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</si>
  <si>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</si>
  <si>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</si>
  <si>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</si>
  <si>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</si>
  <si>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</si>
  <si>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</si>
  <si>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</si>
  <si>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</si>
  <si>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</si>
  <si>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</si>
  <si>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</si>
  <si>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</si>
  <si>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</si>
  <si>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</si>
  <si>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</si>
  <si>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</si>
  <si>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</si>
  <si>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</si>
  <si>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</si>
  <si>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</si>
  <si>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</si>
  <si>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</si>
  <si>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</si>
  <si>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</si>
  <si>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</si>
  <si>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</si>
  <si>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</si>
  <si>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</si>
  <si>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</si>
  <si>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</si>
  <si>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</si>
  <si>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</si>
  <si>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</si>
  <si>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</si>
  <si>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</si>
  <si>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</si>
  <si>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</si>
  <si>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</si>
  <si>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</si>
  <si>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</si>
  <si>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</si>
  <si>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</si>
  <si>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</si>
  <si>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</si>
  <si>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</si>
  <si>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</si>
  <si>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</si>
  <si>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</si>
  <si>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</si>
  <si>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</si>
  <si>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</si>
  <si>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</si>
  <si>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</si>
  <si>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</si>
  <si>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</si>
  <si>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</si>
  <si>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</si>
  <si>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</si>
  <si>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</si>
  <si>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</si>
  <si>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</si>
  <si>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</si>
  <si>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</si>
  <si>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</si>
  <si>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</si>
  <si>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</si>
  <si>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</si>
  <si>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</si>
  <si>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</si>
  <si>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</si>
  <si>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</si>
  <si>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</si>
  <si>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</si>
  <si>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</si>
  <si>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</si>
  <si>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</si>
  <si>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</si>
  <si>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</si>
  <si>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</si>
  <si>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</si>
  <si>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</si>
  <si>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</si>
  <si>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</si>
  <si>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</si>
  <si>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</si>
  <si>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</si>
  <si>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</si>
  <si>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</si>
  <si>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</si>
  <si>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</si>
  <si>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</si>
  <si>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</si>
  <si>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</si>
  <si>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</si>
  <si>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</si>
  <si>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</si>
  <si>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</si>
  <si>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</si>
  <si>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</si>
  <si>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</si>
  <si>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</si>
  <si>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</si>
  <si>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</si>
  <si>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</si>
  <si>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</si>
  <si>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</si>
  <si>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</si>
  <si>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</si>
  <si>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</si>
  <si>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</si>
  <si>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</si>
  <si>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</si>
  <si>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</si>
  <si>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</si>
  <si>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</si>
  <si>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</si>
  <si>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</si>
  <si>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</si>
  <si>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</si>
  <si>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</si>
  <si>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</si>
  <si>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</si>
  <si>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</si>
  <si>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</si>
  <si>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</si>
  <si>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</si>
  <si>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</si>
  <si>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</si>
  <si>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</si>
  <si>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</si>
  <si>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</si>
  <si>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</si>
  <si>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</si>
  <si>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</si>
  <si>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</si>
  <si>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</si>
  <si>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</si>
  <si>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</si>
  <si>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</si>
  <si>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</si>
  <si>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</si>
  <si>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</si>
  <si>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</si>
  <si>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</si>
  <si>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</si>
  <si>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</si>
  <si>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</si>
  <si>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</si>
  <si>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</si>
  <si>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</si>
  <si>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</si>
  <si>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</si>
  <si>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</si>
  <si>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</si>
  <si>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</si>
  <si>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</si>
  <si>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</si>
  <si>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</si>
  <si>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</si>
  <si>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</si>
  <si>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</si>
  <si>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</si>
  <si>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</si>
  <si>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</si>
  <si>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</si>
  <si>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</si>
  <si>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</si>
  <si>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</si>
  <si>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</si>
  <si>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</si>
  <si>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</si>
  <si>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</si>
  <si>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</si>
  <si>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</si>
  <si>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</si>
  <si>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</si>
  <si>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</si>
  <si>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</si>
  <si>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</si>
  <si>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</si>
  <si>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</si>
  <si>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</si>
  <si>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</si>
  <si>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</si>
  <si>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</si>
  <si>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</si>
  <si>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</si>
  <si>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</si>
  <si>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</si>
  <si>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</si>
  <si>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</si>
  <si>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</si>
  <si>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</si>
  <si>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</si>
  <si>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</si>
  <si>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</si>
  <si>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</si>
  <si>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</si>
  <si>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</si>
  <si>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</si>
  <si>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</si>
  <si>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</si>
  <si>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</si>
  <si>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</si>
  <si>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</si>
  <si>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</si>
  <si>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</si>
  <si>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</si>
  <si>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</si>
  <si>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</si>
  <si>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</si>
  <si>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</si>
  <si>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</si>
  <si>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</si>
  <si>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</si>
  <si>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</si>
  <si>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</si>
  <si>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</si>
  <si>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</si>
  <si>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</si>
  <si>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</si>
  <si>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</si>
  <si>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</si>
  <si>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</si>
  <si>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</si>
  <si>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</si>
  <si>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</si>
  <si>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</si>
  <si>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</si>
  <si>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</si>
  <si>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</si>
  <si>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</si>
  <si>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</si>
  <si>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</si>
  <si>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</si>
  <si>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</si>
  <si>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</si>
  <si>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</si>
  <si>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</si>
  <si>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</si>
  <si>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</si>
  <si>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</si>
  <si>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</si>
  <si>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</si>
  <si>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</si>
  <si>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</si>
  <si>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</si>
  <si>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</si>
  <si>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</si>
  <si>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</si>
  <si>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</si>
  <si>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</si>
  <si>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</si>
  <si>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</si>
  <si>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</si>
  <si>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</si>
  <si>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</si>
  <si>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</si>
  <si>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</si>
  <si>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</si>
  <si>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</si>
  <si>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</si>
  <si>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</si>
  <si>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</si>
  <si>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</si>
  <si>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</si>
  <si>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</si>
  <si>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</si>
  <si>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</si>
  <si>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</si>
  <si>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</si>
  <si>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</si>
  <si>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</si>
  <si>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</si>
  <si>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</si>
  <si>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</si>
  <si>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</si>
  <si>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</si>
  <si>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</si>
  <si>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</si>
  <si>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</si>
  <si>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</si>
  <si>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</si>
  <si>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</si>
  <si>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</si>
  <si>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</si>
  <si>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</si>
  <si>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</si>
  <si>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</si>
  <si>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</si>
  <si>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</si>
  <si>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</si>
  <si>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</si>
  <si>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</si>
  <si>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</si>
  <si>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</si>
  <si>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</si>
  <si>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</si>
  <si>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</si>
  <si>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</si>
  <si>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</si>
  <si>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</si>
  <si>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</si>
  <si>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</si>
  <si>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</si>
  <si>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</si>
  <si>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</si>
  <si>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</si>
  <si>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</si>
  <si>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</si>
  <si>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</si>
  <si>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</si>
  <si>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</si>
  <si>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</si>
  <si>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</si>
  <si>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</si>
  <si>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</si>
  <si>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</si>
  <si>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</si>
  <si>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</si>
  <si>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</si>
  <si>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</si>
  <si>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</si>
  <si>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</si>
  <si>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</si>
  <si>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</si>
  <si>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</si>
  <si>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</si>
  <si>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</si>
  <si>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</si>
  <si>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</si>
  <si>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</si>
  <si>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</si>
  <si>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</si>
  <si>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</si>
  <si>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</si>
  <si>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</si>
  <si>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</si>
  <si>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</si>
  <si>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</si>
  <si>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</si>
  <si>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</si>
  <si>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</si>
  <si>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</si>
  <si>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</si>
  <si>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</si>
  <si>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</si>
  <si>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</si>
  <si>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</si>
  <si>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</si>
  <si>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</si>
  <si>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</si>
  <si>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</si>
  <si>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</si>
  <si>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</si>
  <si>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</si>
  <si>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</si>
  <si>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</si>
  <si>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</si>
  <si>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</si>
  <si>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</si>
  <si>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</si>
  <si>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</si>
  <si>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</si>
  <si>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</si>
  <si>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</si>
  <si>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</si>
  <si>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</si>
  <si>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</si>
  <si>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</si>
  <si>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</si>
  <si>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</si>
  <si>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</si>
  <si>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</si>
  <si>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</si>
  <si>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</si>
  <si>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</si>
  <si>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</si>
  <si>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</si>
  <si>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</si>
  <si>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</si>
  <si>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</si>
  <si>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</si>
  <si>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</si>
  <si>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</si>
  <si>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</si>
  <si>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</si>
  <si>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</si>
  <si>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</si>
  <si>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</si>
  <si>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</si>
  <si>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</si>
  <si>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</si>
  <si>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</si>
  <si>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</si>
  <si>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</si>
  <si>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</si>
  <si>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</si>
  <si>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</si>
  <si>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</si>
  <si>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</si>
  <si>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</si>
  <si>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</si>
  <si>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</si>
  <si>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</si>
  <si>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</si>
  <si>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</si>
  <si>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</si>
  <si>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</si>
  <si>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</si>
  <si>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</si>
  <si>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</si>
  <si>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</si>
  <si>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</si>
  <si>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</si>
  <si>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</si>
  <si>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</si>
  <si>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</si>
  <si>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</si>
  <si>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</si>
  <si>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</si>
  <si>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</si>
  <si>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</si>
  <si>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</si>
  <si>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</si>
  <si>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</si>
  <si>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</si>
  <si>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</si>
  <si>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</si>
  <si>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</si>
  <si>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</si>
  <si>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</si>
  <si>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</si>
  <si>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</si>
  <si>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</si>
  <si>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</si>
  <si>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</si>
  <si>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</si>
  <si>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</si>
  <si>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</si>
  <si>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</si>
  <si>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</si>
  <si>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</si>
  <si>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</si>
  <si>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</si>
  <si>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</si>
  <si>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</si>
  <si>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</si>
  <si>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</si>
  <si>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</si>
  <si>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</si>
  <si>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</si>
  <si>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</si>
  <si>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</si>
  <si>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</si>
  <si>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</si>
  <si>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</si>
  <si>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</si>
  <si>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</si>
  <si>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</si>
  <si>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</si>
  <si>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</si>
  <si>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</si>
  <si>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</si>
  <si>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</si>
  <si>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</si>
  <si>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</si>
  <si>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</si>
  <si>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</si>
  <si>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</si>
  <si>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</si>
  <si>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</si>
  <si>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</si>
  <si>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</si>
  <si>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</si>
  <si>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</si>
  <si>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</si>
  <si>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</si>
  <si>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</si>
  <si>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</si>
  <si>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</si>
  <si>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</si>
  <si>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</si>
  <si>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</si>
  <si>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</si>
  <si>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</si>
  <si>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</si>
  <si>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</si>
  <si>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</si>
  <si>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</si>
  <si>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</si>
  <si>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</si>
  <si>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</si>
  <si>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</si>
  <si>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</si>
  <si>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</si>
  <si>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</si>
  <si>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</si>
  <si>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</si>
  <si>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</si>
  <si>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</si>
  <si>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</si>
  <si>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</si>
  <si>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</si>
  <si>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</si>
  <si>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</si>
  <si>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</si>
  <si>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</si>
  <si>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</si>
  <si>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</si>
  <si>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</si>
  <si>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</si>
  <si>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</si>
  <si>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</si>
  <si>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</si>
  <si>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</si>
  <si>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</si>
  <si>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</si>
  <si>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</si>
  <si>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</si>
  <si>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</si>
  <si>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</si>
  <si>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</si>
  <si>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</si>
  <si>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</si>
  <si>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</si>
  <si>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</si>
  <si>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</si>
  <si>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</si>
  <si>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</si>
  <si>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</si>
  <si>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</si>
  <si>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</si>
  <si>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</si>
  <si>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</si>
  <si>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</si>
  <si>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</si>
  <si>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</si>
  <si>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</si>
  <si>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</si>
  <si>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</si>
  <si>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</si>
  <si>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</si>
  <si>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</si>
  <si>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</si>
  <si>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</si>
  <si>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</si>
  <si>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</si>
  <si>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</si>
  <si>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</si>
  <si>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</si>
  <si>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</si>
  <si>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</si>
  <si>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</si>
  <si>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</si>
  <si>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</si>
  <si>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</si>
  <si>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</si>
  <si>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</si>
  <si>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</si>
  <si>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</si>
  <si>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</si>
  <si>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</si>
  <si>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</si>
  <si>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</si>
  <si>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</si>
  <si>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</si>
  <si>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</si>
  <si>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</si>
  <si>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</si>
  <si>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</si>
  <si>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</si>
  <si>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</si>
  <si>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</si>
  <si>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</si>
  <si>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</si>
  <si>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</si>
  <si>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</si>
  <si>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</si>
  <si>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</si>
  <si>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</si>
  <si>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</si>
  <si>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</si>
  <si>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</si>
  <si>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</si>
  <si>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</si>
  <si>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</si>
  <si>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</si>
  <si>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</si>
  <si>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</si>
  <si>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</si>
  <si>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</si>
  <si>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</si>
  <si>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</si>
  <si>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</si>
  <si>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</si>
  <si>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</si>
  <si>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</si>
  <si>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</si>
  <si>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</si>
  <si>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</si>
  <si>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</si>
  <si>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</si>
  <si>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</si>
  <si>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</si>
  <si>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</si>
  <si>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</si>
  <si>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</si>
  <si>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</si>
  <si>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</si>
  <si>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</si>
  <si>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</si>
  <si>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</si>
  <si>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</si>
  <si>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</si>
  <si>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</si>
  <si>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</si>
  <si>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</si>
  <si>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</si>
  <si>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</si>
  <si>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</si>
  <si>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</si>
  <si>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</si>
  <si>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</si>
  <si>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</si>
  <si>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</si>
  <si>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</si>
  <si>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</si>
  <si>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</si>
  <si>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</si>
  <si>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</si>
  <si>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</si>
  <si>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</si>
  <si>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</si>
  <si>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</si>
  <si>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</si>
  <si>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</si>
  <si>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</si>
  <si>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</si>
  <si>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</si>
  <si>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</si>
  <si>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</si>
  <si>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</si>
  <si>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</si>
  <si>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</si>
  <si>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</si>
  <si>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</si>
  <si>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</si>
  <si>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</si>
  <si>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</si>
  <si>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</si>
  <si>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</si>
  <si>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</si>
  <si>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</si>
  <si>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</si>
  <si>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</si>
  <si>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</si>
  <si>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</si>
  <si>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</si>
  <si>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</si>
  <si>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</si>
  <si>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</si>
  <si>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</si>
  <si>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</si>
  <si>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</si>
  <si>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</si>
  <si>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</si>
  <si>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</si>
  <si>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</si>
  <si>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</si>
  <si>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</si>
  <si>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</si>
  <si>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</si>
  <si>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</si>
  <si>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</si>
  <si>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</si>
  <si>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</si>
  <si>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</si>
  <si>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</si>
  <si>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</si>
  <si>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</si>
  <si>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</si>
  <si>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</si>
  <si>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</si>
  <si>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</si>
  <si>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</si>
  <si>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</si>
  <si>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</si>
  <si>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</si>
  <si>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</si>
  <si>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</si>
  <si>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</si>
  <si>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</si>
  <si>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</si>
  <si>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</si>
  <si>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</si>
  <si>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</si>
  <si>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</si>
  <si>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</si>
  <si>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</si>
  <si>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</si>
  <si>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</si>
  <si>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</si>
  <si>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</si>
  <si>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</si>
  <si>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</si>
  <si>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</si>
  <si>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</si>
  <si>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</si>
  <si>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</si>
  <si>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</si>
  <si>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</si>
  <si>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</si>
  <si>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</si>
  <si>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</si>
  <si>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</si>
  <si>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</si>
  <si>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</si>
  <si>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</si>
  <si>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</si>
  <si>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</si>
  <si>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</si>
  <si>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</si>
  <si>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</si>
  <si>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</si>
  <si>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</si>
  <si>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</si>
  <si>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</si>
  <si>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</si>
  <si>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</si>
  <si>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</si>
  <si>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</si>
  <si>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</si>
  <si>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</si>
  <si>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</si>
  <si>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</si>
  <si>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</si>
  <si>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</si>
  <si>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</si>
  <si>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</si>
  <si>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</si>
  <si>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</si>
  <si>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</si>
  <si>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</si>
  <si>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</si>
  <si>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</si>
  <si>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</si>
  <si>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</si>
  <si>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</si>
  <si>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</si>
  <si>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</si>
  <si>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</si>
  <si>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</si>
  <si>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</si>
  <si>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</si>
  <si>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</si>
  <si>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</si>
  <si>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</si>
  <si>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</si>
  <si>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</si>
  <si>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</si>
  <si>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</si>
  <si>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</si>
  <si>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</si>
  <si>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</si>
  <si>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</si>
  <si>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</si>
  <si>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</si>
  <si>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</si>
  <si>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</si>
  <si>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</si>
  <si>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</si>
  <si>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</si>
  <si>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</si>
  <si>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</si>
  <si>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</si>
  <si>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</si>
  <si>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</si>
  <si>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</si>
  <si>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</si>
  <si>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</si>
  <si>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</si>
  <si>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</si>
  <si>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</si>
  <si>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</si>
  <si>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</si>
  <si>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</si>
  <si>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</si>
  <si>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</si>
  <si>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</si>
  <si>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</si>
  <si>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</si>
  <si>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</si>
  <si>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</si>
  <si>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</si>
  <si>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</si>
  <si>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</si>
  <si>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</si>
  <si>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</si>
  <si>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</si>
  <si>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</si>
  <si>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</si>
  <si>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</si>
  <si>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</si>
  <si>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</si>
  <si>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</si>
  <si>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</si>
  <si>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</si>
  <si>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</si>
  <si>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</si>
  <si>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</si>
  <si>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</si>
  <si>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</si>
  <si>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</si>
  <si>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</si>
  <si>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</si>
  <si>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</si>
  <si>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</si>
  <si>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</si>
  <si>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</si>
  <si>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</si>
  <si>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</si>
  <si>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</si>
  <si>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</si>
  <si>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</si>
  <si>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</si>
  <si>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</si>
  <si>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</si>
  <si>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</si>
  <si>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</si>
  <si>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</si>
  <si>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</si>
  <si>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</si>
  <si>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</si>
  <si>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</si>
  <si>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</si>
  <si>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</si>
  <si>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</si>
  <si>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</si>
  <si>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</si>
  <si>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</si>
  <si>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</si>
  <si>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</si>
  <si>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</si>
  <si>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</si>
  <si>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</si>
  <si>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</si>
  <si>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</si>
  <si>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</si>
  <si>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</si>
  <si>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</si>
  <si>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</si>
  <si>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</si>
  <si>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</si>
  <si>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</si>
  <si>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</si>
  <si>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</si>
  <si>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</si>
  <si>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</si>
  <si>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</si>
  <si>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</si>
  <si>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</si>
  <si>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</si>
  <si>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</si>
  <si>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</si>
  <si>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</si>
  <si>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</si>
  <si>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</si>
  <si>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</si>
  <si>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</si>
  <si>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</si>
  <si>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</si>
  <si>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</si>
  <si>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</si>
  <si>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</si>
  <si>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</si>
  <si>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</si>
  <si>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</si>
  <si>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</si>
  <si>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</si>
  <si>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</si>
  <si>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</si>
  <si>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</si>
  <si>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</si>
  <si>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</si>
  <si>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</si>
  <si>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</si>
  <si>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</si>
  <si>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</si>
  <si>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</si>
  <si>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</si>
  <si>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</si>
  <si>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</si>
  <si>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</si>
  <si>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</si>
  <si>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</si>
  <si>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</si>
  <si>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</si>
  <si>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</si>
  <si>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</si>
  <si>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</si>
  <si>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</si>
  <si>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</si>
  <si>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</si>
  <si>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</si>
  <si>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</si>
  <si>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</si>
  <si>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</si>
  <si>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</si>
  <si>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</si>
  <si>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</si>
  <si>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</si>
  <si>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</si>
  <si>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</si>
  <si>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</si>
  <si>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</si>
  <si>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</si>
  <si>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</si>
  <si>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</si>
  <si>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</si>
  <si>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</si>
  <si>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</si>
  <si>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</si>
  <si>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</si>
  <si>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</si>
  <si>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</si>
  <si>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</si>
  <si>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</si>
  <si>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</si>
  <si>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</si>
  <si>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</si>
  <si>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</si>
  <si>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</si>
  <si>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</si>
  <si>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</si>
  <si>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</si>
  <si>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</si>
  <si>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</si>
  <si>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</si>
  <si>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</si>
  <si>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</si>
  <si>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</si>
  <si>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</si>
  <si>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</si>
  <si>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</si>
  <si>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</si>
  <si>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</si>
  <si>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</si>
  <si>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</si>
  <si>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</si>
  <si>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</si>
  <si>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</si>
  <si>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</si>
  <si>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</si>
  <si>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</si>
  <si>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</si>
  <si>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</si>
  <si>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</si>
  <si>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</si>
  <si>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</si>
  <si>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</si>
  <si>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</si>
  <si>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</si>
  <si>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</si>
  <si>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</si>
  <si>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</si>
  <si>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</si>
  <si>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</si>
  <si>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</si>
  <si>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</si>
  <si>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</si>
  <si>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</si>
  <si>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</si>
  <si>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</si>
  <si>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</si>
  <si>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</si>
  <si>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</si>
  <si>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</si>
  <si>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</si>
  <si>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</si>
  <si>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</si>
  <si>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</si>
  <si>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</si>
  <si>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</si>
  <si>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</si>
  <si>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</si>
  <si>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</si>
  <si>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</si>
  <si>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</si>
  <si>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</si>
  <si>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</si>
  <si>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</si>
  <si>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</si>
  <si>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</si>
  <si>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</si>
  <si>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</si>
  <si>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</si>
  <si>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</si>
  <si>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</si>
  <si>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</si>
  <si>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</si>
  <si>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</si>
  <si>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</si>
  <si>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</si>
  <si>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</si>
  <si>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</si>
  <si>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</si>
  <si>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</si>
  <si>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</si>
  <si>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</si>
  <si>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</si>
  <si>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</si>
  <si>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</si>
  <si>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</si>
  <si>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</si>
  <si>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</si>
  <si>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</si>
  <si>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</si>
  <si>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</si>
  <si>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</si>
  <si>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</si>
  <si>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</si>
  <si>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</si>
  <si>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</si>
  <si>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</si>
  <si>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</si>
  <si>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</si>
  <si>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</si>
  <si>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</si>
  <si>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</si>
  <si>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</si>
  <si>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</si>
  <si>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</si>
  <si>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</si>
  <si>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</si>
  <si>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</si>
  <si>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</si>
  <si>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</si>
  <si>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</si>
  <si>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</si>
  <si>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</si>
  <si>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</si>
  <si>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</si>
  <si>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</si>
  <si>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</si>
  <si>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</si>
  <si>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</si>
  <si>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</si>
  <si>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</si>
  <si>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</si>
  <si>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</si>
  <si>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</si>
  <si>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</si>
  <si>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</si>
  <si>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</si>
  <si>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</si>
  <si>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</si>
  <si>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</si>
  <si>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</si>
  <si>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</si>
  <si>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</si>
  <si>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</si>
  <si>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</si>
  <si>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</si>
  <si>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</si>
  <si>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</si>
  <si>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</si>
  <si>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</si>
  <si>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</si>
  <si>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</si>
  <si>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</si>
  <si>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</si>
  <si>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</si>
  <si>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</si>
  <si>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</si>
  <si>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</si>
  <si>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</si>
  <si>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</si>
  <si>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</si>
  <si>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</si>
  <si>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</si>
  <si>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</si>
  <si>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</si>
  <si>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</si>
  <si>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</si>
  <si>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</si>
  <si>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</si>
  <si>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</si>
  <si>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</si>
  <si>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</si>
  <si>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</si>
  <si>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</si>
  <si>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</si>
  <si>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</si>
  <si>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</si>
  <si>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</si>
  <si>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</si>
  <si>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</si>
  <si>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</si>
  <si>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</si>
  <si>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</si>
  <si>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</si>
  <si>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</si>
  <si>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</si>
  <si>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</si>
  <si>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</si>
  <si>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</si>
  <si>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</si>
  <si>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</si>
  <si>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</si>
  <si>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</si>
  <si>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</si>
  <si>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</si>
  <si>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</si>
  <si>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</si>
  <si>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</si>
  <si>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</si>
  <si>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</si>
  <si>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</si>
  <si>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</si>
  <si>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</si>
  <si>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</si>
  <si>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</si>
  <si>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</si>
  <si>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</si>
  <si>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</si>
  <si>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</si>
  <si>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</si>
  <si>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</si>
  <si>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</si>
  <si>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</si>
  <si>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</si>
  <si>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</si>
  <si>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</si>
  <si>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</si>
  <si>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</si>
  <si>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</si>
  <si>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</si>
  <si>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</si>
  <si>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</si>
  <si>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</si>
  <si>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</si>
  <si>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</si>
  <si>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</si>
  <si>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</si>
  <si>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</si>
  <si>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</si>
  <si>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</si>
  <si>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</si>
  <si>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</si>
  <si>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</si>
  <si>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</si>
  <si>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</si>
  <si>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</si>
  <si>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</si>
  <si>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</si>
  <si>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</si>
  <si>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</si>
  <si>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</si>
  <si>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</si>
  <si>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</si>
  <si>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</si>
  <si>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</si>
  <si>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</si>
  <si>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</si>
  <si>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</si>
  <si>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</si>
  <si>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</si>
  <si>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</si>
  <si>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</si>
  <si>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</si>
  <si>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</si>
  <si>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</si>
  <si>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</si>
  <si>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</si>
  <si>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</si>
  <si>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</si>
  <si>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</si>
  <si>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</si>
  <si>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</si>
  <si>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</si>
  <si>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</si>
  <si>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</si>
  <si>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</si>
  <si>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</si>
  <si>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</si>
  <si>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</si>
  <si>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</si>
  <si>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</si>
  <si>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</si>
  <si>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</si>
  <si>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</si>
  <si>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</si>
  <si>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</si>
  <si>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</si>
  <si>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</si>
  <si>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</si>
  <si>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</si>
  <si>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</si>
  <si>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</si>
  <si>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</si>
  <si>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</si>
  <si>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</si>
  <si>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</si>
  <si>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</si>
  <si>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</si>
  <si>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</si>
  <si>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</si>
  <si>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</si>
  <si>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</si>
  <si>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</si>
  <si>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</si>
  <si>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</si>
  <si>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</si>
  <si>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</si>
  <si>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</si>
  <si>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</si>
  <si>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</si>
  <si>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</si>
  <si>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</si>
  <si>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</si>
  <si>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</si>
  <si>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</si>
  <si>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</si>
  <si>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</si>
  <si>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</si>
  <si>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</si>
  <si>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</si>
  <si>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</si>
  <si>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</si>
  <si>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</si>
  <si>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</si>
  <si>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</si>
  <si>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</si>
  <si>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</si>
  <si>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</si>
  <si>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</si>
  <si>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</si>
  <si>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</si>
  <si>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</si>
  <si>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</si>
  <si>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</si>
  <si>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</si>
  <si>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</si>
  <si>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</si>
  <si>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</si>
  <si>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</si>
  <si>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</si>
  <si>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</si>
  <si>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</si>
  <si>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</si>
  <si>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</si>
  <si>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</si>
  <si>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</si>
  <si>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</si>
  <si>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</si>
  <si>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</si>
  <si>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</si>
  <si>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</si>
  <si>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</si>
  <si>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</si>
  <si>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</si>
  <si>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</si>
  <si>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</si>
  <si>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</si>
  <si>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</si>
  <si>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</si>
  <si>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</si>
  <si>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</si>
  <si>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</si>
  <si>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</si>
  <si>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</si>
  <si>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</si>
  <si>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</si>
  <si>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</si>
  <si>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</si>
  <si>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</si>
  <si>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</si>
  <si>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</si>
  <si>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</si>
  <si>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</si>
  <si>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</si>
  <si>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</si>
  <si>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</si>
  <si>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</si>
  <si>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</si>
  <si>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</si>
  <si>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</si>
  <si>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</si>
  <si>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</si>
  <si>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</si>
  <si>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</si>
  <si>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</si>
  <si>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</si>
  <si>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</si>
  <si>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</si>
  <si>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</si>
  <si>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</si>
  <si>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</si>
  <si>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</si>
  <si>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</si>
  <si>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</si>
  <si>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</si>
  <si>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</si>
  <si>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</si>
  <si>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</si>
  <si>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</si>
  <si>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</si>
  <si>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</si>
  <si>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</si>
  <si>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</si>
  <si>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</si>
  <si>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</si>
  <si>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</si>
  <si>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</si>
  <si>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</si>
  <si>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</si>
  <si>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</si>
  <si>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</si>
  <si>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</si>
  <si>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</si>
  <si>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</si>
  <si>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</si>
  <si>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</si>
  <si>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</si>
  <si>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</si>
  <si>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</si>
  <si>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</si>
  <si>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</si>
  <si>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</si>
  <si>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</si>
  <si>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</si>
  <si>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</si>
  <si>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</si>
  <si>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</si>
  <si>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</si>
  <si>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</si>
  <si>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</si>
  <si>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</si>
  <si>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</si>
  <si>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</si>
  <si>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</si>
  <si>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</si>
  <si>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</si>
  <si>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</si>
  <si>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</si>
  <si>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</si>
  <si>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</si>
  <si>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</si>
  <si>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</si>
  <si>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</si>
  <si>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</si>
  <si>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</si>
  <si>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</si>
  <si>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</si>
  <si>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</si>
  <si>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</si>
  <si>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</si>
  <si>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</si>
  <si>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</si>
  <si>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</si>
  <si>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</si>
  <si>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</si>
  <si>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</si>
  <si>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</si>
  <si>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</si>
  <si>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</si>
  <si>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</si>
  <si>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</si>
  <si>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</si>
  <si>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</si>
  <si>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</si>
  <si>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</si>
  <si>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</si>
  <si>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</si>
  <si>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</si>
  <si>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</si>
  <si>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</si>
  <si>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</si>
  <si>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</si>
  <si>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</si>
  <si>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</si>
  <si>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</si>
  <si>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</si>
  <si>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</si>
  <si>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</si>
  <si>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</si>
  <si>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</si>
  <si>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</si>
  <si>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</si>
  <si>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</si>
  <si>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</si>
  <si>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</si>
  <si>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</si>
  <si>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</si>
  <si>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</si>
  <si>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</si>
  <si>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</si>
  <si>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</si>
  <si>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</si>
  <si>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</si>
  <si>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</si>
  <si>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</si>
  <si>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</si>
  <si>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</si>
  <si>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</si>
  <si>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</si>
  <si>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</si>
  <si>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</si>
  <si>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</si>
  <si>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</si>
  <si>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</si>
  <si>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</si>
  <si>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</si>
  <si>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</si>
  <si>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</si>
  <si>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</si>
  <si>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</si>
  <si>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</si>
  <si>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</si>
  <si>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</si>
  <si>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</si>
  <si>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</si>
  <si>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</si>
  <si>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</si>
  <si>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</si>
  <si>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</si>
  <si>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</si>
  <si>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</si>
  <si>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</si>
  <si>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</si>
  <si>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</si>
  <si>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</si>
  <si>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</si>
  <si>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</si>
  <si>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</si>
  <si>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</si>
  <si>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</si>
  <si>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</si>
  <si>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</si>
  <si>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</si>
  <si>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</si>
  <si>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</si>
  <si>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</si>
  <si>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</si>
  <si>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</si>
  <si>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</si>
  <si>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</si>
  <si>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</si>
  <si>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</si>
  <si>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</si>
  <si>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</si>
  <si>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</si>
  <si>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</si>
  <si>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</si>
  <si>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</si>
  <si>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</si>
  <si>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</si>
  <si>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</si>
  <si>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</si>
  <si>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</si>
  <si>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</si>
  <si>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</si>
  <si>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</si>
  <si>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</si>
  <si>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</si>
  <si>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</si>
  <si>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</si>
  <si>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</si>
  <si>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</si>
  <si>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</si>
  <si>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</si>
  <si>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</si>
  <si>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</si>
  <si>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</si>
  <si>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</si>
  <si>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</si>
  <si>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</si>
  <si>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</si>
  <si>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</si>
  <si>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</si>
  <si>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</si>
  <si>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</si>
  <si>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</si>
  <si>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</si>
  <si>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</si>
  <si>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</si>
  <si>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</si>
  <si>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</si>
  <si>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</si>
  <si>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</si>
  <si>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</si>
  <si>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</si>
  <si>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</si>
  <si>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</si>
  <si>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</si>
  <si>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</si>
  <si>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</si>
  <si>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</si>
  <si>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</si>
  <si>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</si>
  <si>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</si>
  <si>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</si>
  <si>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</si>
  <si>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</si>
  <si>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</si>
  <si>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</si>
  <si>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</si>
  <si>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</si>
  <si>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</si>
  <si>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</si>
  <si>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</si>
  <si>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</si>
  <si>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</si>
  <si>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</si>
  <si>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</si>
  <si>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</si>
  <si>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</si>
  <si>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</si>
  <si>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</si>
  <si>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</si>
  <si>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</si>
  <si>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</si>
  <si>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</si>
  <si>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</si>
  <si>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</si>
  <si>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</si>
  <si>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</si>
  <si>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</si>
  <si>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</si>
  <si>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</si>
  <si>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</si>
  <si>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</si>
  <si>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</si>
  <si>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</si>
  <si>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</si>
  <si>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</si>
  <si>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</si>
  <si>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</si>
  <si>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</si>
  <si>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</si>
  <si>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</si>
  <si>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</si>
  <si>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</si>
  <si>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</si>
  <si>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</si>
  <si>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</si>
  <si>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</si>
  <si>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</si>
  <si>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</si>
  <si>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</si>
  <si>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</si>
  <si>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</si>
  <si>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</si>
  <si>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</si>
  <si>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</si>
  <si>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</si>
  <si>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</si>
  <si>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</si>
  <si>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</si>
  <si>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</si>
  <si>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</si>
  <si>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</si>
  <si>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</si>
  <si>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</si>
  <si>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</si>
  <si>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</si>
  <si>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</si>
  <si>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</si>
  <si>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</si>
  <si>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</si>
  <si>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</si>
  <si>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</si>
  <si>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</si>
  <si>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</si>
  <si>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</si>
  <si>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</si>
  <si>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</si>
  <si>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</si>
  <si>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</si>
  <si>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</si>
  <si>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</si>
  <si>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</si>
  <si>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</si>
  <si>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</si>
  <si>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</si>
  <si>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</si>
  <si>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</si>
  <si>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</si>
  <si>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</si>
  <si>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</si>
  <si>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</si>
  <si>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</si>
  <si>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</si>
  <si>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</si>
  <si>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</si>
  <si>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</si>
  <si>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</si>
  <si>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</si>
  <si>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</si>
  <si>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</si>
  <si>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</si>
  <si>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</si>
  <si>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</si>
  <si>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</si>
  <si>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</si>
  <si>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</si>
  <si>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</si>
  <si>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</si>
  <si>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</si>
  <si>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</si>
  <si>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</si>
  <si>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</si>
  <si>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</si>
  <si>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</si>
  <si>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</si>
  <si>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</si>
  <si>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</si>
  <si>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</si>
  <si>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</si>
  <si>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</si>
  <si>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</si>
  <si>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</si>
  <si>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</si>
  <si>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</si>
  <si>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</si>
  <si>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</si>
  <si>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</si>
  <si>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</si>
  <si>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</si>
  <si>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</si>
  <si>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</si>
  <si>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</si>
  <si>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</si>
  <si>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</si>
  <si>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</si>
  <si>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</si>
  <si>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</si>
  <si>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</si>
  <si>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</si>
  <si>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</si>
  <si>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</si>
  <si>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</si>
  <si>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</si>
  <si>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</si>
  <si>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</si>
  <si>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</si>
  <si>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</si>
  <si>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</si>
  <si>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</si>
  <si>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</si>
  <si>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</si>
  <si>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</si>
  <si>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</si>
  <si>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</si>
  <si>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</si>
  <si>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</si>
  <si>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</si>
  <si>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</si>
  <si>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</si>
  <si>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</si>
  <si>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</si>
  <si>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</si>
  <si>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</si>
  <si>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</si>
  <si>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</si>
  <si>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</si>
  <si>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</si>
  <si>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</si>
  <si>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</si>
  <si>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</si>
  <si>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</si>
  <si>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</si>
  <si>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</si>
  <si>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</si>
  <si>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</si>
  <si>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</si>
  <si>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</si>
  <si>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</si>
  <si>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</si>
  <si>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</si>
  <si>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</si>
  <si>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</si>
  <si>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</si>
  <si>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</si>
  <si>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</si>
  <si>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</si>
  <si>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</si>
  <si>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</si>
  <si>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</si>
  <si>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</si>
  <si>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</si>
  <si>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</si>
  <si>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</si>
  <si>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</si>
  <si>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</si>
  <si>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</si>
  <si>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</si>
  <si>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</si>
  <si>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</si>
  <si>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</si>
  <si>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</si>
  <si>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</si>
  <si>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</si>
  <si>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</si>
  <si>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</si>
  <si>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</si>
  <si>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</si>
  <si>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</si>
  <si>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</si>
  <si>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</si>
  <si>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</si>
  <si>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</si>
  <si>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</si>
  <si>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</si>
  <si>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</si>
  <si>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</si>
  <si>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</si>
  <si>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</si>
  <si>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</si>
  <si>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</si>
  <si>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</si>
  <si>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</si>
  <si>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</si>
  <si>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</si>
  <si>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</si>
  <si>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</si>
  <si>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</si>
  <si>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</si>
  <si>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</si>
  <si>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</si>
  <si>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</si>
  <si>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</si>
  <si>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</si>
  <si>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</si>
  <si>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</si>
  <si>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</si>
  <si>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</si>
  <si>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</si>
  <si>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</si>
  <si>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</si>
  <si>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</si>
  <si>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</si>
  <si>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</si>
  <si>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</si>
  <si>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</si>
  <si>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</si>
  <si>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</si>
  <si>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</si>
  <si>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</si>
  <si>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</si>
  <si>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</si>
  <si>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</si>
  <si>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</si>
  <si>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</si>
  <si>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</si>
  <si>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</si>
  <si>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</si>
  <si>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</si>
  <si>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</si>
  <si>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</si>
  <si>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</si>
  <si>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</si>
  <si>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</si>
  <si>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</si>
  <si>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</si>
  <si>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</si>
  <si>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</si>
  <si>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</si>
  <si>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</si>
  <si>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</si>
  <si>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</si>
  <si>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</si>
  <si>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</si>
  <si>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</si>
  <si>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</si>
  <si>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</si>
  <si>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</si>
  <si>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</si>
  <si>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</si>
  <si>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</si>
  <si>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</si>
  <si>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</si>
  <si>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</si>
  <si>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</si>
  <si>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</si>
  <si>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</si>
  <si>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</si>
  <si>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</si>
  <si>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</si>
  <si>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</si>
  <si>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</si>
  <si>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</si>
  <si>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</si>
  <si>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</si>
  <si>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</si>
  <si>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</si>
  <si>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</si>
  <si>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</si>
  <si>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</si>
  <si>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</si>
  <si>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</si>
  <si>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</si>
  <si>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</si>
  <si>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</si>
  <si>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</si>
  <si>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</si>
  <si>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</si>
  <si>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</si>
  <si>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</si>
  <si>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</si>
  <si>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</si>
  <si>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</si>
  <si>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</si>
  <si>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</si>
  <si>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</si>
  <si>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</si>
  <si>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</si>
  <si>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</si>
  <si>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</si>
  <si>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</si>
  <si>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</si>
  <si>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</si>
  <si>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</si>
  <si>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</si>
  <si>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</si>
  <si>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</si>
  <si>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</si>
  <si>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</si>
  <si>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</si>
  <si>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</si>
  <si>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</si>
  <si>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</si>
  <si>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</si>
  <si>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</si>
  <si>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</si>
  <si>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</si>
  <si>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</si>
  <si>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</si>
  <si>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</si>
  <si>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</si>
  <si>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</si>
  <si>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</si>
  <si>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</si>
  <si>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</si>
  <si>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</si>
  <si>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</si>
  <si>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</si>
  <si>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</si>
  <si>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</si>
  <si>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</si>
  <si>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</si>
  <si>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</si>
  <si>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</si>
  <si>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</si>
  <si>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</si>
  <si>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</si>
  <si>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</si>
  <si>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</si>
  <si>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</si>
  <si>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</si>
  <si>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</si>
  <si>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</si>
  <si>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</si>
  <si>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</si>
  <si>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</si>
  <si>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</si>
  <si>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</si>
  <si>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</si>
  <si>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</si>
  <si>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</si>
  <si>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</si>
  <si>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</si>
  <si>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</si>
  <si>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</si>
  <si>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</si>
  <si>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</si>
  <si>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</si>
  <si>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</si>
  <si>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</si>
  <si>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</si>
  <si>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</si>
  <si>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</si>
  <si>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</si>
  <si>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</si>
  <si>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</si>
  <si>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</si>
  <si>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</si>
  <si>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</si>
  <si>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</si>
  <si>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</si>
  <si>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</si>
  <si>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</si>
  <si>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</si>
  <si>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</si>
  <si>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</si>
  <si>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</si>
  <si>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</si>
  <si>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</si>
  <si>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</si>
  <si>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</si>
  <si>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</si>
  <si>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</si>
  <si>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</si>
  <si>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</si>
  <si>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</si>
  <si>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</si>
  <si>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</si>
  <si>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</si>
  <si>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</si>
  <si>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</si>
  <si>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</si>
  <si>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</si>
  <si>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</si>
  <si>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</si>
  <si>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</si>
  <si>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</si>
  <si>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</si>
  <si>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</si>
  <si>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</si>
  <si>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</si>
  <si>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</si>
  <si>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</si>
  <si>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</si>
  <si>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</si>
  <si>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</si>
  <si>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</si>
  <si>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</si>
  <si>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</si>
  <si>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</si>
  <si>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</si>
  <si>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</si>
  <si>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</si>
  <si>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</si>
  <si>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</si>
  <si>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</si>
  <si>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</si>
  <si>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</si>
  <si>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</si>
  <si>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</si>
  <si>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</si>
  <si>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</si>
  <si>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</si>
  <si>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</si>
  <si>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</si>
  <si>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</si>
  <si>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</si>
  <si>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</si>
  <si>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</si>
  <si>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</si>
  <si>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</si>
  <si>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</si>
  <si>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</si>
  <si>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</si>
  <si>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</si>
  <si>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</si>
  <si>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</si>
  <si>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</si>
  <si>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</si>
  <si>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</si>
  <si>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</si>
  <si>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</si>
  <si>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</si>
  <si>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</si>
  <si>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</si>
  <si>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</si>
  <si>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</si>
  <si>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</si>
  <si>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</si>
  <si>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</si>
  <si>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</si>
  <si>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</si>
  <si>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</si>
  <si>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</si>
  <si>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</si>
  <si>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</si>
  <si>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</si>
  <si>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</si>
  <si>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</si>
  <si>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</si>
  <si>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</si>
  <si>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</si>
  <si>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</si>
  <si>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</si>
  <si>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</si>
  <si>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</si>
  <si>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</si>
  <si>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</si>
  <si>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</si>
  <si>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</si>
  <si>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</si>
  <si>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</si>
  <si>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</si>
  <si>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</si>
  <si>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</si>
  <si>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</si>
  <si>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</si>
  <si>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</si>
  <si>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</si>
  <si>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</si>
  <si>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</si>
  <si>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</si>
  <si>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</si>
  <si>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</si>
  <si>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</si>
  <si>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</si>
  <si>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</si>
  <si>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</si>
  <si>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</si>
  <si>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</si>
  <si>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</si>
  <si>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</si>
  <si>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</si>
  <si>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</si>
  <si>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</si>
  <si>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</si>
  <si>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</si>
  <si>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</si>
  <si>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</si>
  <si>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</si>
  <si>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</si>
  <si>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</si>
  <si>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</si>
  <si>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</si>
  <si>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</si>
  <si>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</si>
  <si>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</si>
  <si>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</si>
  <si>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</si>
  <si>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</si>
  <si>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</si>
  <si>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</si>
  <si>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</si>
  <si>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</si>
  <si>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</si>
  <si>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</si>
  <si>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</si>
  <si>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</si>
  <si>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</si>
  <si>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</si>
  <si>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</si>
  <si>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</si>
  <si>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</si>
  <si>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</si>
  <si>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</si>
  <si>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</si>
  <si>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</si>
  <si>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</si>
  <si>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</si>
  <si>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</si>
  <si>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</si>
  <si>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</si>
  <si>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</si>
  <si>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</si>
  <si>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</si>
  <si>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</si>
  <si>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</si>
  <si>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</si>
  <si>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</si>
  <si>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</si>
  <si>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</si>
  <si>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</si>
  <si>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</si>
  <si>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</si>
  <si>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</si>
  <si>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</si>
  <si>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</si>
  <si>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</si>
  <si>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</si>
  <si>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</si>
  <si>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</si>
  <si>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</si>
  <si>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</si>
  <si>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</si>
  <si>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</si>
  <si>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</si>
  <si>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</si>
  <si>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</si>
  <si>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</si>
  <si>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</si>
  <si>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</si>
  <si>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</si>
  <si>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</si>
  <si>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</si>
  <si>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</si>
  <si>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</si>
  <si>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</si>
  <si>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</si>
  <si>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</si>
  <si>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</si>
  <si>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</si>
  <si>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</si>
  <si>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</si>
  <si>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</si>
  <si>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</si>
  <si>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</si>
  <si>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</si>
  <si>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</si>
  <si>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</si>
  <si>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</si>
  <si>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</si>
  <si>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</si>
  <si>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</si>
  <si>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</si>
  <si>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</si>
  <si>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</si>
  <si>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</si>
  <si>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</si>
  <si>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</si>
  <si>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</si>
  <si>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</si>
  <si>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</si>
  <si>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</si>
  <si>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</si>
  <si>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</si>
  <si>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</si>
  <si>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</si>
  <si>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</si>
  <si>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</si>
  <si>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</si>
  <si>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</si>
  <si>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</si>
  <si>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</si>
  <si>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</si>
  <si>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</si>
  <si>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</si>
  <si>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</si>
  <si>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</si>
  <si>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</si>
  <si>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</si>
  <si>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</si>
  <si>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</si>
  <si>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</si>
  <si>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</si>
  <si>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</si>
  <si>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</si>
  <si>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</si>
  <si>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</si>
  <si>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</si>
  <si>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</si>
  <si>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</si>
  <si>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</si>
  <si>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</si>
  <si>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</si>
  <si>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</si>
  <si>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</si>
  <si>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</si>
  <si>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</si>
  <si>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</si>
  <si>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</si>
  <si>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</si>
  <si>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</si>
  <si>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</si>
  <si>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</si>
  <si>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</si>
  <si>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</si>
  <si>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</si>
  <si>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</si>
  <si>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</si>
  <si>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</si>
  <si>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</si>
  <si>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</si>
  <si>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</si>
  <si>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</si>
  <si>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</si>
  <si>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</si>
  <si>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</si>
  <si>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</si>
  <si>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</si>
  <si>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</si>
  <si>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</si>
  <si>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</si>
  <si>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</si>
  <si>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</si>
  <si>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</si>
  <si>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</si>
  <si>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</si>
  <si>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</si>
  <si>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</si>
  <si>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</si>
  <si>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</si>
  <si>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</si>
  <si>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</si>
  <si>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</si>
  <si>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</si>
  <si>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</si>
  <si>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</si>
  <si>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</si>
  <si>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</si>
  <si>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</si>
  <si>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</si>
  <si>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</si>
  <si>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</si>
  <si>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</si>
  <si>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</si>
  <si>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</si>
  <si>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</si>
  <si>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</si>
  <si>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</si>
  <si>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</si>
  <si>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</si>
  <si>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</si>
  <si>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</si>
  <si>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</si>
  <si>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</si>
  <si>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</si>
  <si>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</si>
  <si>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</si>
  <si>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</si>
  <si>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</si>
  <si>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</si>
  <si>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</si>
  <si>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</si>
  <si>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</si>
  <si>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</si>
  <si>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</si>
  <si>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</si>
  <si>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</si>
  <si>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</si>
  <si>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</si>
  <si>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</si>
  <si>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</si>
  <si>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</si>
  <si>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</si>
  <si>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</si>
  <si>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</si>
  <si>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</si>
  <si>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</si>
  <si>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</si>
  <si>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</si>
  <si>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</si>
  <si>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</si>
  <si>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</si>
  <si>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</si>
  <si>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</si>
  <si>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</si>
  <si>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</si>
  <si>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</si>
  <si>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</si>
  <si>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</si>
  <si>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</si>
  <si>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</si>
  <si>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</si>
  <si>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</si>
  <si>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</si>
  <si>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</si>
  <si>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</si>
  <si>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</si>
  <si>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</si>
  <si>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</si>
  <si>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</si>
  <si>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</si>
  <si>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</si>
  <si>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</si>
  <si>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</si>
  <si>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</si>
  <si>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</si>
  <si>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</si>
  <si>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</si>
  <si>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</si>
  <si>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</si>
  <si>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</si>
  <si>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</si>
  <si>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</si>
  <si>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</si>
  <si>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</si>
  <si>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</si>
  <si>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</si>
  <si>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</si>
  <si>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</si>
  <si>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</si>
  <si>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</si>
  <si>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</si>
  <si>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</si>
  <si>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</si>
  <si>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</si>
  <si>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</si>
  <si>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</si>
  <si>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</si>
  <si>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</si>
  <si>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</si>
  <si>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</si>
  <si>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</si>
  <si>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</si>
  <si>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</si>
  <si>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</si>
  <si>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</si>
  <si>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</si>
  <si>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</si>
  <si>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</si>
  <si>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</si>
  <si>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</si>
  <si>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</si>
  <si>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</si>
  <si>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</si>
  <si>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</si>
  <si>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</si>
  <si>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</si>
  <si>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</si>
  <si>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</si>
  <si>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</si>
  <si>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</si>
  <si>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</si>
  <si>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</si>
  <si>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</si>
  <si>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</si>
  <si>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</si>
  <si>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</si>
  <si>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</si>
  <si>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</si>
  <si>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</si>
  <si>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</si>
  <si>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</si>
  <si>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</si>
  <si>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</si>
  <si>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</si>
  <si>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</si>
  <si>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</si>
  <si>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</si>
  <si>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</si>
  <si>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</si>
  <si>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</si>
  <si>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</si>
  <si>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</si>
  <si>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</si>
  <si>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</si>
  <si>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</si>
  <si>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</si>
  <si>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</si>
  <si>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</si>
  <si>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</si>
  <si>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</si>
  <si>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</si>
  <si>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</si>
  <si>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</si>
  <si>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</si>
  <si>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</si>
  <si>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</si>
  <si>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</si>
  <si>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</si>
  <si>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</si>
  <si>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</si>
  <si>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</si>
  <si>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</si>
  <si>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</si>
  <si>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</si>
  <si>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</si>
  <si>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</si>
  <si>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</si>
  <si>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</si>
  <si>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</si>
  <si>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</si>
  <si>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</si>
  <si>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</si>
  <si>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</si>
  <si>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</si>
  <si>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</si>
  <si>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</si>
  <si>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</si>
  <si>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</si>
  <si>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</si>
  <si>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</si>
  <si>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</si>
  <si>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</si>
  <si>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</si>
  <si>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</si>
  <si>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</si>
  <si>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</si>
  <si>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</si>
  <si>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</si>
  <si>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</si>
  <si>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</si>
  <si>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</si>
  <si>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</si>
  <si>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</si>
  <si>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</si>
  <si>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</si>
  <si>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</si>
  <si>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</si>
  <si>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</si>
  <si>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</si>
  <si>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</si>
  <si>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</si>
  <si>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</si>
  <si>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</si>
  <si>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</si>
  <si>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</si>
  <si>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</si>
  <si>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</si>
  <si>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</si>
  <si>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</si>
  <si>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</si>
  <si>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</si>
  <si>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</si>
  <si>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</si>
  <si>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</si>
  <si>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</si>
  <si>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</si>
  <si>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</si>
  <si>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</si>
  <si>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</si>
  <si>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</si>
  <si>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</si>
  <si>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</si>
  <si>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</si>
  <si>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</si>
  <si>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</si>
  <si>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</si>
  <si>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</si>
  <si>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</si>
  <si>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</si>
  <si>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</si>
  <si>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</si>
  <si>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</si>
  <si>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</si>
  <si>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</si>
  <si>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</si>
  <si>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</si>
  <si>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</si>
  <si>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</si>
  <si>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</si>
  <si>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</si>
  <si>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</si>
  <si>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</si>
  <si>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</si>
  <si>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</si>
  <si>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</si>
  <si>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</si>
  <si>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</si>
  <si>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</si>
  <si>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</si>
  <si>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</si>
  <si>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</si>
  <si>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</si>
  <si>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</si>
  <si>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</si>
  <si>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</si>
  <si>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</si>
  <si>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</si>
  <si>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</si>
  <si>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</si>
  <si>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</si>
  <si>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</si>
  <si>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</si>
  <si>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</si>
  <si>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</si>
  <si>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</si>
  <si>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</si>
  <si>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</si>
  <si>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</si>
  <si>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</si>
  <si>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</si>
  <si>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</si>
  <si>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</si>
  <si>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</si>
  <si>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</si>
  <si>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</si>
  <si>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</si>
  <si>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</si>
  <si>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</si>
  <si>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</si>
  <si>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</si>
  <si>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</si>
  <si>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</si>
  <si>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</si>
  <si>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</si>
  <si>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</si>
  <si>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</si>
  <si>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</si>
  <si>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</si>
  <si>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</si>
  <si>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</si>
  <si>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</si>
  <si>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</si>
  <si>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</si>
  <si>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</si>
  <si>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</si>
  <si>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</si>
  <si>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</si>
  <si>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</si>
  <si>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</si>
  <si>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</si>
  <si>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</si>
  <si>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</si>
  <si>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</si>
  <si>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</si>
  <si>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</si>
  <si>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</si>
  <si>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</si>
  <si>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</si>
  <si>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</si>
  <si>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</si>
  <si>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</si>
  <si>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</si>
  <si>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</si>
  <si>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</si>
  <si>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</si>
  <si>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</si>
  <si>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</si>
  <si>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</si>
  <si>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</si>
  <si>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</si>
  <si>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</si>
  <si>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</si>
  <si>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</si>
  <si>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</si>
  <si>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</si>
  <si>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</si>
  <si>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</si>
  <si>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</si>
  <si>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</si>
  <si>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</si>
  <si>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</si>
  <si>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</si>
  <si>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</si>
  <si>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</si>
  <si>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</si>
  <si>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</si>
  <si>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</si>
  <si>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</si>
  <si>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</si>
  <si>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</si>
  <si>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</si>
  <si>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</si>
  <si>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</si>
  <si>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</si>
  <si>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</si>
  <si>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</si>
  <si>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</si>
  <si>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</si>
  <si>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</si>
  <si>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</si>
  <si>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</si>
  <si>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</si>
  <si>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</si>
  <si>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</si>
  <si>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</si>
  <si>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</si>
  <si>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</si>
  <si>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</si>
  <si>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</si>
  <si>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</si>
  <si>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</si>
  <si>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</si>
  <si>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</si>
  <si>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</si>
  <si>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</si>
  <si>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</si>
  <si>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</si>
  <si>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</si>
  <si>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</si>
  <si>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</si>
  <si>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</si>
  <si>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</si>
  <si>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</si>
  <si>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</si>
  <si>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</si>
  <si>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</si>
  <si>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</si>
  <si>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</si>
  <si>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</si>
  <si>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</si>
  <si>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</si>
  <si>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</si>
  <si>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</si>
  <si>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</si>
  <si>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</si>
  <si>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</si>
  <si>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</si>
  <si>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</si>
  <si>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</si>
  <si>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</si>
  <si>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</si>
  <si>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</si>
  <si>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</si>
  <si>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</si>
  <si>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</si>
  <si>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</si>
  <si>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</si>
  <si>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</si>
  <si>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</si>
  <si>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</si>
  <si>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</si>
  <si>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</si>
  <si>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</si>
  <si>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</si>
  <si>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</si>
  <si>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</si>
  <si>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</si>
  <si>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</si>
  <si>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</si>
  <si>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</si>
  <si>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</si>
  <si>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</si>
  <si>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</si>
  <si>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</si>
  <si>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</si>
  <si>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</si>
  <si>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</si>
  <si>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</si>
  <si>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</si>
  <si>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</si>
  <si>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</si>
  <si>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</si>
  <si>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</si>
  <si>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</si>
  <si>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</si>
  <si>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</si>
  <si>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</si>
  <si>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</si>
  <si>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</si>
  <si>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</si>
  <si>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</si>
  <si>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</si>
  <si>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</si>
  <si>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</si>
  <si>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</si>
  <si>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</si>
  <si>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</si>
  <si>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</si>
  <si>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</si>
  <si>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</si>
  <si>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</si>
  <si>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</si>
  <si>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</si>
  <si>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</si>
  <si>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</si>
  <si>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</si>
  <si>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</si>
  <si>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</si>
  <si>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</si>
  <si>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</si>
  <si>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</si>
  <si>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</si>
  <si>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</si>
  <si>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</si>
  <si>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</si>
  <si>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</si>
  <si>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</si>
  <si>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</si>
  <si>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</si>
  <si>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</si>
  <si>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</si>
  <si>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</si>
  <si>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</si>
  <si>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</si>
  <si>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</si>
  <si>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</si>
  <si>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</si>
  <si>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</si>
  <si>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</si>
  <si>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</si>
  <si>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</si>
  <si>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</si>
  <si>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</si>
  <si>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</si>
  <si>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</si>
  <si>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</si>
  <si>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</si>
  <si>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</si>
  <si>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</si>
  <si>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</si>
  <si>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</si>
  <si>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</si>
  <si>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</si>
  <si>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</si>
  <si>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</si>
  <si>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</si>
  <si>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</si>
  <si>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</si>
  <si>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</si>
  <si>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</si>
  <si>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</si>
  <si>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</si>
  <si>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</si>
  <si>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</si>
  <si>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</si>
  <si>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</si>
  <si>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</si>
  <si>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</si>
  <si>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</si>
  <si>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</si>
  <si>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</si>
  <si>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</si>
  <si>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</si>
  <si>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</si>
  <si>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</si>
  <si>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</si>
  <si>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</si>
  <si>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</si>
  <si>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</si>
  <si>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</si>
  <si>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</si>
  <si>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</si>
  <si>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</si>
  <si>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</si>
  <si>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</si>
  <si>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</si>
  <si>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</si>
  <si>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</si>
  <si>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</si>
  <si>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</si>
  <si>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</si>
  <si>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</si>
  <si>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</si>
  <si>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</si>
  <si>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</si>
  <si>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</si>
  <si>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</si>
  <si>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</si>
  <si>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</si>
  <si>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</si>
  <si>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</si>
  <si>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</si>
  <si>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</si>
  <si>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</si>
  <si>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</si>
  <si>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</si>
  <si>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</si>
  <si>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</si>
  <si>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</si>
  <si>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</si>
  <si>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</si>
  <si>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</si>
  <si>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</si>
  <si>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</si>
  <si>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</si>
  <si>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</si>
  <si>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</si>
  <si>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</si>
  <si>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</si>
  <si>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</si>
  <si>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</si>
  <si>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</si>
  <si>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</si>
  <si>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</si>
  <si>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</si>
  <si>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</si>
  <si>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</si>
  <si>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</si>
  <si>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</si>
  <si>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</si>
  <si>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</si>
  <si>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</si>
  <si>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</si>
  <si>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</si>
  <si>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</si>
  <si>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</si>
  <si>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</si>
  <si>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</si>
  <si>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</si>
  <si>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</si>
  <si>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</si>
  <si>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</si>
  <si>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</si>
  <si>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</si>
  <si>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</si>
  <si>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</si>
  <si>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</si>
  <si>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</si>
  <si>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</si>
  <si>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</si>
  <si>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</si>
  <si>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</si>
  <si>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</si>
  <si>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</si>
  <si>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</si>
  <si>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</si>
  <si>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</si>
  <si>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</si>
  <si>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</si>
  <si>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</si>
  <si>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</si>
  <si>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</si>
  <si>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</si>
  <si>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</si>
  <si>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</si>
  <si>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</si>
  <si>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</si>
  <si>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</si>
  <si>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</si>
  <si>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</si>
  <si>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</si>
  <si>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</si>
  <si>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</si>
  <si>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</si>
  <si>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</si>
  <si>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</si>
  <si>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</si>
  <si>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</si>
  <si>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</si>
  <si>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</si>
  <si>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</si>
  <si>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</si>
  <si>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</si>
  <si>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</si>
  <si>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</si>
  <si>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</si>
  <si>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</si>
  <si>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</si>
  <si>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</si>
  <si>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</si>
  <si>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</si>
  <si>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</si>
  <si>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</si>
  <si>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</si>
  <si>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</si>
  <si>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</si>
  <si>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</si>
  <si>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</si>
  <si>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</si>
  <si>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</si>
  <si>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</si>
  <si>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</si>
  <si>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</si>
  <si>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</si>
  <si>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</si>
  <si>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</si>
  <si>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</si>
  <si>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</si>
  <si>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</si>
  <si>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</si>
  <si>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</si>
  <si>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</si>
  <si>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</si>
  <si>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</si>
  <si>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</si>
  <si>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</si>
  <si>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</si>
  <si>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</si>
  <si>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</si>
  <si>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</si>
  <si>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</si>
  <si>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</si>
  <si>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</si>
  <si>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</si>
  <si>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</si>
  <si>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</si>
  <si>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</si>
  <si>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</si>
  <si>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</si>
  <si>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</si>
  <si>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</si>
  <si>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</si>
  <si>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</si>
  <si>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</si>
  <si>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</si>
  <si>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</si>
  <si>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</si>
  <si>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</si>
  <si>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</si>
  <si>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</si>
  <si>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</si>
  <si>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</si>
  <si>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</si>
  <si>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</si>
  <si>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</si>
  <si>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</si>
  <si>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</si>
  <si>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</si>
  <si>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</si>
  <si>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</si>
  <si>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</si>
  <si>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</si>
  <si>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</si>
  <si>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</si>
  <si>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</si>
  <si>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</si>
  <si>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</si>
  <si>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</si>
  <si>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</si>
  <si>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</si>
  <si>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</si>
  <si>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</si>
  <si>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</si>
  <si>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</si>
  <si>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</si>
  <si>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</si>
  <si>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</si>
  <si>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</si>
  <si>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</si>
  <si>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</si>
  <si>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</si>
  <si>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</si>
  <si>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</si>
  <si>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</si>
  <si>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</si>
  <si>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</si>
  <si>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</si>
  <si>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</si>
  <si>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</si>
  <si>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</si>
  <si>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</si>
  <si>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</si>
  <si>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</si>
  <si>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</si>
  <si>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</si>
  <si>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</si>
  <si>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</si>
  <si>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</si>
  <si>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</si>
  <si>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</si>
  <si>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</si>
  <si>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</si>
  <si>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</si>
  <si>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</si>
  <si>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</si>
  <si>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</si>
  <si>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</si>
  <si>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</si>
  <si>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</si>
  <si>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</si>
  <si>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</si>
  <si>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</si>
  <si>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</si>
  <si>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</si>
  <si>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</si>
  <si>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</si>
  <si>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</si>
  <si>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</si>
  <si>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</si>
  <si>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</si>
  <si>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</si>
  <si>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</si>
  <si>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</si>
  <si>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</si>
  <si>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</si>
  <si>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</si>
  <si>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</si>
  <si>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</si>
  <si>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</si>
  <si>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</si>
  <si>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</si>
  <si>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</si>
  <si>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</si>
  <si>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</si>
  <si>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</si>
  <si>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</si>
  <si>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</si>
  <si>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</si>
  <si>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</si>
  <si>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</si>
  <si>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</si>
  <si>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</si>
  <si>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</si>
  <si>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</si>
  <si>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</si>
  <si>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</si>
  <si>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</si>
  <si>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</si>
  <si>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</si>
  <si>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</si>
  <si>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</si>
  <si>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</si>
  <si>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</si>
  <si>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</si>
  <si>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</si>
  <si>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</si>
  <si>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</si>
  <si>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</si>
  <si>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</si>
  <si>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</si>
  <si>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</si>
  <si>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</si>
  <si>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</si>
  <si>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</si>
  <si>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</si>
  <si>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</si>
  <si>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</si>
  <si>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</si>
  <si>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</si>
  <si>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</si>
  <si>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</si>
  <si>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</si>
  <si>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</si>
  <si>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</si>
  <si>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</si>
  <si>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</si>
  <si>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</si>
  <si>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</si>
  <si>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</si>
  <si>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</si>
  <si>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</si>
  <si>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</si>
  <si>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</si>
  <si>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</si>
  <si>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</si>
  <si>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</si>
  <si>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</si>
  <si>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</si>
  <si>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</si>
  <si>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</si>
  <si>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</si>
  <si>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</si>
  <si>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</si>
  <si>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</si>
  <si>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</si>
  <si>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</si>
  <si>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</si>
  <si>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</si>
  <si>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</si>
  <si>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</si>
  <si>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</si>
  <si>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</si>
  <si>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</si>
  <si>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</si>
  <si>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</si>
  <si>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</si>
  <si>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</si>
  <si>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</si>
  <si>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</si>
  <si>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</si>
  <si>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</si>
  <si>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</si>
  <si>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</si>
  <si>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</si>
  <si>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</si>
  <si>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</si>
  <si>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</si>
  <si>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</si>
  <si>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</si>
  <si>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</si>
  <si>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</si>
  <si>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</si>
  <si>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</si>
  <si>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</si>
  <si>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</si>
  <si>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</si>
  <si>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</si>
  <si>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</si>
  <si>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</si>
  <si>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</si>
  <si>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</si>
  <si>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</si>
  <si>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</si>
  <si>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</si>
  <si>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</si>
  <si>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</si>
  <si>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</si>
  <si>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</si>
  <si>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</si>
  <si>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</si>
  <si>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</si>
  <si>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</si>
  <si>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</si>
  <si>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</si>
  <si>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</si>
  <si>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</si>
  <si>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</si>
  <si>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</si>
  <si>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</si>
  <si>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</si>
  <si>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</si>
  <si>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</si>
  <si>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</si>
  <si>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</si>
  <si>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</si>
  <si>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</si>
  <si>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</si>
  <si>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</si>
  <si>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</si>
  <si>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</si>
  <si>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</si>
  <si>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</si>
  <si>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</si>
  <si>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</si>
  <si>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</si>
  <si>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</si>
  <si>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</si>
  <si>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</si>
  <si>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</si>
  <si>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</si>
  <si>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</si>
  <si>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</si>
  <si>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</si>
  <si>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</si>
  <si>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</si>
  <si>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</si>
  <si>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</si>
  <si>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</si>
  <si>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</si>
  <si>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</si>
  <si>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</si>
  <si>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</si>
  <si>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</si>
  <si>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</si>
  <si>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</si>
  <si>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</si>
  <si>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</si>
  <si>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</si>
  <si>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</si>
  <si>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</si>
  <si>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</si>
  <si>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</si>
  <si>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</si>
  <si>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</si>
  <si>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</si>
  <si>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</si>
  <si>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</si>
  <si>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</si>
  <si>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</si>
  <si>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</si>
  <si>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</si>
  <si>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</si>
  <si>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</si>
  <si>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</si>
  <si>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</si>
  <si>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</si>
  <si>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</si>
  <si>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</si>
  <si>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</si>
  <si>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</si>
  <si>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</si>
  <si>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</si>
  <si>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</si>
  <si>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</si>
  <si>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</si>
  <si>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</si>
  <si>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</si>
  <si>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</si>
  <si>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</si>
  <si>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</si>
  <si>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</si>
  <si>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</si>
  <si>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</si>
  <si>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</si>
  <si>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</si>
  <si>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</si>
  <si>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</si>
  <si>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</si>
  <si>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</si>
  <si>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</si>
  <si>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</si>
  <si>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</si>
  <si>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</si>
  <si>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</si>
  <si>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</si>
  <si>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</si>
  <si>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</si>
  <si>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</si>
  <si>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</si>
  <si>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</si>
  <si>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</si>
  <si>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</si>
  <si>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</si>
  <si>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</si>
  <si>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</si>
  <si>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</si>
  <si>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</si>
  <si>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</si>
  <si>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</si>
  <si>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</si>
  <si>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</si>
  <si>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</si>
  <si>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</si>
  <si>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</si>
  <si>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</si>
  <si>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</si>
  <si>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</si>
  <si>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</si>
  <si>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</si>
  <si>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</si>
  <si>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</si>
  <si>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</si>
  <si>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</si>
  <si>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</si>
  <si>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</si>
  <si>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</si>
  <si>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</si>
  <si>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</si>
  <si>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</si>
  <si>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</si>
  <si>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</si>
  <si>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</si>
  <si>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</si>
  <si>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</si>
  <si>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</si>
  <si>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</si>
  <si>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</si>
  <si>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</si>
  <si>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</si>
  <si>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</si>
  <si>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</si>
  <si>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</si>
  <si>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</si>
  <si>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</si>
  <si>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</si>
  <si>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</si>
  <si>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</si>
  <si>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</si>
  <si>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</si>
  <si>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</si>
  <si>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</si>
  <si>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</si>
  <si>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</si>
  <si>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</si>
  <si>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</si>
  <si>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</si>
  <si>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</si>
  <si>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</si>
  <si>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</si>
  <si>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</si>
  <si>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</si>
  <si>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</si>
  <si>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</si>
  <si>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</si>
  <si>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</si>
  <si>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</si>
  <si>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</si>
  <si>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</si>
  <si>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</si>
  <si>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</si>
  <si>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</si>
  <si>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</si>
  <si>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</si>
  <si>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</si>
  <si>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</si>
  <si>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</si>
  <si>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</si>
  <si>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</si>
  <si>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</si>
  <si>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</si>
  <si>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</si>
  <si>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</si>
  <si>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</si>
  <si>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</si>
  <si>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</si>
  <si>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</si>
  <si>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</si>
  <si>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</si>
  <si>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</si>
  <si>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</si>
  <si>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</si>
  <si>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</si>
  <si>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</si>
  <si>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</si>
  <si>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</si>
  <si>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</si>
  <si>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</si>
  <si>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</si>
  <si>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</si>
  <si>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</si>
  <si>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</si>
  <si>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</si>
  <si>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</si>
  <si>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</si>
  <si>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</si>
  <si>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</si>
  <si>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</si>
  <si>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</si>
  <si>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</si>
  <si>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</si>
  <si>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</si>
  <si>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</si>
  <si>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</si>
  <si>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</si>
  <si>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</si>
  <si>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</si>
  <si>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</si>
  <si>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</si>
  <si>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</si>
  <si>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</si>
  <si>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</si>
  <si>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</si>
  <si>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</si>
  <si>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</si>
  <si>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</si>
  <si>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</si>
  <si>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</si>
  <si>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</si>
  <si>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</si>
  <si>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</si>
  <si>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</si>
  <si>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</si>
  <si>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</si>
  <si>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</si>
  <si>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</si>
  <si>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</si>
  <si>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</si>
  <si>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</si>
  <si>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</si>
  <si>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</si>
  <si>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</si>
  <si>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</si>
  <si>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</si>
  <si>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</si>
  <si>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</si>
  <si>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</si>
  <si>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</si>
  <si>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</si>
  <si>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</si>
  <si>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</si>
  <si>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</si>
  <si>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</si>
  <si>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</si>
  <si>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</si>
  <si>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</si>
  <si>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</si>
  <si>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</si>
  <si>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</si>
  <si>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</si>
  <si>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</si>
  <si>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</si>
  <si>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</si>
  <si>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</si>
  <si>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</si>
  <si>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</si>
  <si>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</si>
  <si>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</si>
  <si>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</si>
  <si>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</si>
  <si>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</si>
  <si>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</si>
  <si>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</si>
  <si>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</si>
  <si>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</si>
  <si>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</si>
  <si>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</si>
  <si>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</si>
  <si>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</si>
  <si>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</si>
  <si>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</si>
  <si>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</si>
  <si>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</si>
  <si>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</si>
  <si>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</si>
  <si>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</si>
  <si>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</si>
  <si>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</si>
  <si>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</si>
  <si>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</si>
  <si>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</si>
  <si>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</si>
  <si>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</si>
  <si>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</si>
  <si>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</si>
  <si>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</si>
  <si>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</si>
  <si>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</si>
  <si>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</si>
  <si>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</si>
  <si>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</si>
  <si>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</si>
  <si>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</si>
  <si>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</si>
  <si>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</si>
  <si>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</si>
  <si>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</si>
  <si>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</si>
  <si>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</si>
  <si>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</si>
  <si>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</si>
  <si>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</si>
  <si>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</si>
  <si>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</si>
  <si>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</si>
  <si>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</si>
  <si>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</si>
  <si>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</si>
  <si>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</si>
  <si>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</si>
  <si>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</si>
  <si>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</si>
  <si>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</si>
  <si>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</si>
  <si>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</si>
  <si>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</si>
  <si>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</si>
  <si>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</si>
  <si>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</si>
  <si>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</si>
  <si>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</si>
  <si>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</si>
  <si>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</si>
  <si>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</si>
  <si>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</si>
  <si>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</si>
  <si>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</si>
  <si>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</si>
  <si>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</si>
  <si>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</si>
  <si>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</si>
  <si>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</si>
  <si>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</si>
  <si>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</si>
  <si>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</si>
  <si>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</si>
  <si>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</si>
  <si>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</si>
  <si>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</si>
  <si>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</si>
  <si>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</si>
  <si>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</si>
  <si>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</si>
  <si>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</si>
  <si>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</si>
  <si>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</si>
  <si>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</si>
  <si>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</si>
  <si>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</si>
  <si>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</si>
  <si>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</si>
  <si>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</si>
  <si>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</si>
  <si>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</si>
  <si>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</si>
  <si>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</si>
  <si>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</si>
  <si>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</si>
  <si>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</si>
  <si>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</si>
  <si>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</si>
  <si>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</si>
  <si>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</si>
  <si>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</si>
  <si>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</si>
  <si>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</si>
  <si>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</si>
  <si>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</si>
  <si>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</si>
  <si>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</si>
  <si>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</si>
  <si>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</si>
  <si>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</si>
  <si>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</si>
  <si>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</si>
  <si>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</si>
  <si>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</si>
  <si>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</si>
  <si>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</si>
  <si>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</si>
  <si>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</si>
  <si>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</si>
  <si>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</si>
  <si>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</si>
  <si>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</si>
  <si>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</si>
  <si>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</si>
  <si>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</si>
  <si>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</si>
  <si>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</si>
  <si>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</si>
  <si>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</si>
  <si>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</si>
  <si>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</si>
  <si>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</si>
  <si>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</si>
  <si>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</si>
  <si>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</si>
  <si>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</si>
  <si>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</si>
  <si>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</si>
  <si>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</si>
  <si>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</si>
  <si>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</si>
  <si>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</si>
  <si>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</si>
  <si>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</si>
  <si>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</si>
  <si>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</si>
  <si>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</si>
  <si>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</si>
  <si>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</si>
  <si>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</si>
  <si>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</si>
  <si>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</si>
  <si>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</si>
  <si>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</si>
  <si>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</si>
  <si>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</si>
  <si>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</si>
  <si>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</si>
  <si>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</si>
  <si>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</si>
  <si>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</si>
  <si>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</si>
  <si>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</si>
  <si>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</si>
  <si>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</si>
  <si>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</si>
  <si>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</si>
  <si>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</si>
  <si>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</si>
  <si>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</si>
  <si>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</si>
  <si>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</si>
  <si>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</si>
  <si>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</si>
  <si>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</si>
  <si>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</si>
  <si>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</si>
  <si>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</si>
  <si>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</si>
  <si>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</si>
  <si>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</si>
  <si>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</si>
  <si>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</si>
  <si>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</si>
  <si>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</si>
  <si>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</si>
  <si>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</si>
  <si>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</si>
  <si>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</si>
  <si>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</si>
  <si>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</si>
  <si>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</si>
  <si>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</si>
  <si>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</si>
  <si>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</si>
  <si>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</si>
  <si>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</si>
  <si>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</si>
  <si>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</si>
  <si>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</si>
  <si>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</si>
  <si>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</si>
  <si>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</si>
  <si>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</si>
  <si>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</si>
  <si>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</si>
  <si>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</si>
  <si>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</si>
  <si>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</si>
  <si>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</si>
  <si>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</si>
  <si>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</si>
  <si>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</si>
  <si>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</si>
  <si>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</si>
  <si>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</si>
  <si>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</si>
  <si>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</si>
  <si>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</si>
  <si>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</si>
  <si>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</si>
  <si>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</si>
  <si>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</si>
  <si>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</si>
  <si>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</si>
  <si>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</si>
  <si>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</si>
  <si>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</si>
  <si>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</si>
  <si>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</si>
  <si>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</si>
  <si>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</si>
  <si>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</si>
  <si>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</si>
  <si>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</si>
  <si>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</si>
  <si>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</si>
  <si>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</si>
  <si>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</si>
  <si>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</si>
  <si>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</si>
  <si>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</si>
  <si>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</si>
  <si>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</si>
  <si>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</si>
  <si>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</si>
  <si>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</si>
  <si>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</si>
  <si>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</si>
  <si>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</si>
  <si>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</si>
  <si>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</si>
  <si>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</si>
  <si>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</si>
  <si>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</si>
  <si>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</si>
  <si>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</si>
  <si>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</si>
  <si>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</si>
  <si>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</si>
  <si>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</si>
  <si>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</si>
  <si>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</si>
  <si>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</si>
  <si>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</si>
  <si>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</si>
  <si>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</si>
  <si>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</si>
  <si>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</si>
  <si>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</si>
  <si>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</si>
  <si>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</si>
  <si>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</si>
  <si>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</si>
  <si>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</si>
  <si>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</si>
  <si>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</si>
  <si>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</si>
  <si>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</si>
  <si>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</si>
  <si>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</si>
  <si>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</si>
  <si>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</si>
  <si>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</si>
  <si>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</si>
  <si>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</si>
  <si>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</si>
  <si>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</si>
  <si>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</si>
  <si>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</si>
  <si>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</si>
  <si>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</si>
  <si>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</si>
  <si>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</si>
  <si>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</si>
  <si>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</si>
  <si>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</si>
  <si>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</si>
  <si>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</si>
  <si>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</si>
  <si>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</si>
  <si>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</si>
  <si>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</si>
  <si>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</si>
  <si>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</si>
  <si>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</si>
  <si>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</si>
  <si>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</si>
  <si>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</si>
  <si>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</si>
  <si>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</si>
  <si>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</si>
  <si>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</si>
  <si>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</si>
  <si>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</si>
  <si>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</si>
  <si>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</si>
  <si>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</si>
  <si>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</si>
  <si>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</si>
  <si>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</si>
  <si>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</si>
  <si>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</si>
  <si>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</si>
  <si>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</si>
  <si>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</si>
  <si>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</si>
  <si>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</si>
  <si>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</si>
  <si>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</si>
  <si>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</si>
  <si>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</si>
  <si>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</si>
  <si>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</si>
  <si>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</si>
  <si>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</si>
  <si>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</si>
  <si>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</si>
  <si>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</si>
  <si>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</si>
  <si>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</si>
  <si>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</si>
  <si>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</si>
  <si>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</si>
  <si>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</si>
  <si>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</si>
  <si>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</si>
  <si>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</si>
  <si>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</si>
  <si>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</si>
  <si>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</si>
  <si>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</si>
  <si>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</si>
  <si>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</si>
  <si>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</si>
  <si>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</si>
  <si>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</si>
  <si>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</si>
  <si>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</si>
  <si>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</si>
  <si>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</si>
  <si>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</si>
  <si>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</si>
  <si>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</si>
  <si>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</si>
  <si>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</si>
  <si>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</si>
  <si>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</si>
  <si>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</si>
  <si>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</si>
  <si>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</si>
  <si>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</si>
  <si>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</si>
  <si>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</si>
  <si>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</si>
  <si>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</si>
  <si>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</si>
  <si>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</si>
  <si>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</si>
  <si>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</si>
  <si>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</si>
  <si>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</si>
  <si>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</si>
  <si>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</si>
  <si>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</si>
  <si>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</si>
  <si>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</si>
  <si>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</si>
  <si>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</si>
  <si>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</si>
  <si>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</si>
  <si>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</si>
  <si>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</si>
  <si>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</si>
  <si>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</si>
  <si>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</si>
  <si>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</si>
  <si>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</si>
  <si>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</si>
  <si>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</si>
  <si>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</si>
  <si>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</si>
  <si>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</si>
  <si>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</si>
  <si>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</si>
  <si>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</si>
  <si>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</si>
  <si>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</si>
  <si>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</si>
  <si>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</si>
  <si>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</si>
  <si>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</si>
  <si>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</si>
  <si>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</si>
  <si>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</si>
  <si>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</si>
  <si>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</si>
  <si>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</si>
  <si>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</si>
  <si>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</si>
  <si>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</si>
  <si>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</si>
  <si>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</si>
  <si>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</si>
  <si>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</si>
  <si>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</si>
  <si>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</si>
  <si>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</si>
  <si>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</si>
  <si>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</si>
  <si>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</si>
  <si>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</si>
  <si>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</si>
  <si>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</si>
  <si>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</si>
  <si>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</si>
  <si>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</si>
  <si>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</si>
  <si>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</si>
  <si>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</si>
  <si>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</si>
  <si>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</si>
  <si>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</si>
  <si>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</si>
  <si>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</si>
  <si>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</si>
  <si>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</si>
  <si>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</si>
  <si>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</si>
  <si>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</si>
  <si>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</si>
  <si>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</si>
  <si>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</si>
  <si>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</si>
  <si>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</si>
  <si>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</si>
  <si>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</si>
  <si>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</si>
  <si>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</si>
  <si>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</si>
  <si>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</si>
  <si>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</si>
  <si>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</si>
  <si>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</si>
  <si>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</si>
  <si>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</si>
  <si>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</si>
  <si>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</si>
  <si>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</si>
  <si>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</si>
  <si>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</si>
  <si>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</si>
  <si>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</si>
  <si>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</si>
  <si>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</si>
  <si>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</si>
  <si>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</si>
  <si>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</si>
  <si>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</si>
  <si>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</si>
  <si>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</si>
  <si>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</si>
  <si>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</si>
  <si>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</si>
  <si>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</si>
  <si>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</si>
  <si>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</si>
  <si>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</si>
  <si>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</si>
  <si>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</si>
  <si>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</si>
  <si>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</si>
  <si>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</si>
  <si>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</si>
  <si>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</si>
  <si>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</si>
  <si>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</si>
  <si>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</si>
  <si>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</si>
  <si>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</si>
  <si>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</si>
  <si>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</si>
  <si>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</si>
  <si>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</si>
  <si>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</si>
  <si>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</si>
  <si>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</si>
  <si>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</si>
  <si>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</si>
  <si>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</si>
  <si>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</si>
  <si>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</si>
  <si>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</si>
  <si>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</si>
  <si>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</si>
  <si>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</si>
  <si>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</si>
  <si>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</si>
  <si>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</si>
  <si>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</si>
  <si>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</si>
  <si>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</si>
  <si>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</si>
  <si>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</si>
  <si>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</si>
  <si>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</si>
  <si>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</si>
  <si>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</si>
  <si>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</si>
  <si>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</si>
  <si>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</si>
  <si>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</si>
  <si>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</si>
  <si>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</si>
  <si>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</si>
  <si>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</si>
  <si>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</si>
  <si>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</si>
  <si>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</si>
  <si>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</si>
  <si>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</si>
  <si>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</si>
  <si>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</si>
  <si>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</si>
  <si>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</si>
  <si>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</si>
  <si>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</si>
  <si>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</si>
  <si>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</si>
  <si>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</si>
  <si>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</si>
  <si>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</si>
  <si>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</si>
  <si>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</si>
  <si>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</si>
  <si>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</si>
  <si>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</si>
  <si>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</si>
  <si>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</si>
  <si>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</si>
  <si>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</si>
  <si>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</si>
  <si>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</si>
  <si>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</si>
  <si>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</si>
  <si>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</si>
  <si>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</si>
  <si>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</si>
  <si>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</si>
  <si>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</si>
  <si>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</si>
  <si>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</si>
  <si>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</si>
  <si>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</si>
  <si>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</si>
  <si>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</si>
  <si>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</si>
  <si>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</si>
  <si>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</si>
  <si>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</si>
  <si>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</si>
  <si>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</si>
  <si>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</si>
  <si>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</si>
  <si>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</si>
  <si>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</si>
  <si>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</si>
  <si>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</si>
  <si>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</si>
  <si>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</si>
  <si>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</si>
  <si>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</si>
  <si>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</si>
  <si>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</si>
  <si>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</si>
  <si>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</si>
  <si>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</si>
  <si>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</si>
  <si>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</si>
  <si>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</si>
  <si>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</si>
  <si>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</si>
  <si>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</si>
  <si>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</si>
  <si>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</si>
  <si>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</si>
  <si>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</si>
  <si>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</si>
  <si>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</si>
  <si>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</si>
  <si>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</si>
  <si>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</si>
  <si>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</si>
  <si>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</si>
  <si>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</si>
  <si>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</si>
  <si>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</si>
  <si>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</si>
  <si>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</si>
  <si>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</si>
  <si>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</si>
  <si>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</si>
  <si>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</si>
  <si>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</si>
  <si>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</si>
  <si>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</si>
  <si>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</si>
  <si>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</si>
  <si>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</si>
  <si>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</si>
  <si>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</si>
  <si>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</si>
  <si>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</si>
  <si>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</si>
  <si>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</si>
  <si>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</si>
  <si>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</si>
  <si>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</si>
  <si>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</si>
  <si>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</si>
  <si>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</si>
  <si>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</si>
  <si>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</si>
  <si>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</si>
  <si>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</si>
  <si>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</si>
  <si>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</si>
  <si>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</si>
  <si>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</si>
  <si>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</si>
  <si>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</si>
  <si>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</si>
  <si>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</si>
  <si>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</si>
  <si>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</si>
  <si>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</si>
  <si>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</si>
  <si>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</si>
  <si>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</si>
  <si>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</si>
  <si>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</si>
  <si>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</si>
  <si>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</si>
  <si>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</si>
  <si>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</si>
  <si>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</si>
  <si>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</si>
  <si>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</si>
  <si>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</si>
  <si>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</si>
  <si>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</si>
  <si>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</si>
  <si>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</si>
  <si>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</si>
  <si>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</si>
  <si>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</si>
  <si>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</si>
  <si>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</si>
  <si>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</si>
  <si>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</si>
  <si>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</si>
  <si>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</si>
  <si>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</si>
  <si>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</si>
  <si>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</si>
  <si>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</si>
  <si>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</si>
  <si>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</si>
  <si>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</si>
  <si>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</si>
  <si>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</si>
  <si>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</si>
  <si>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</si>
  <si>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</si>
  <si>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</si>
  <si>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</si>
  <si>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</si>
  <si>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</si>
  <si>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</si>
  <si>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</si>
  <si>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</si>
  <si>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</si>
  <si>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</si>
  <si>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</si>
  <si>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</si>
  <si>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</si>
  <si>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</si>
  <si>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</si>
  <si>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</si>
  <si>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</si>
  <si>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</si>
  <si>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</si>
  <si>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</si>
  <si>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</si>
  <si>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</si>
  <si>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</si>
  <si>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</si>
  <si>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</si>
  <si>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</si>
  <si>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</si>
  <si>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</si>
  <si>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</si>
  <si>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</si>
  <si>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</si>
  <si>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</si>
  <si>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</si>
  <si>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</si>
  <si>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</si>
  <si>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</si>
  <si>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</si>
  <si>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</si>
  <si>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</si>
  <si>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</si>
  <si>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</si>
  <si>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</si>
  <si>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</si>
  <si>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</si>
  <si>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</si>
  <si>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</si>
  <si>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</si>
  <si>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</si>
  <si>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</si>
  <si>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</si>
  <si>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</si>
  <si>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</si>
  <si>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</si>
  <si>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</si>
  <si>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</si>
  <si>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</si>
  <si>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</si>
  <si>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</si>
  <si>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</si>
  <si>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</si>
  <si>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</si>
  <si>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</si>
  <si>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</si>
  <si>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</si>
  <si>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</si>
  <si>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</si>
  <si>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</si>
  <si>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</si>
  <si>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</si>
  <si>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</si>
  <si>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</si>
  <si>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</si>
  <si>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</si>
  <si>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</si>
  <si>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</si>
  <si>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</si>
  <si>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</si>
  <si>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</si>
  <si>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</si>
  <si>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</si>
  <si>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</si>
  <si>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</si>
  <si>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</si>
  <si>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</si>
  <si>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</si>
  <si>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</si>
  <si>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</si>
  <si>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</si>
  <si>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</si>
  <si>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</si>
  <si>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</si>
  <si>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</si>
  <si>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</si>
  <si>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</si>
  <si>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</si>
  <si>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</si>
  <si>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</si>
  <si>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</si>
  <si>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</si>
  <si>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</si>
  <si>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</si>
  <si>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</si>
  <si>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</si>
  <si>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</si>
  <si>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</si>
  <si>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</si>
  <si>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</si>
  <si>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</si>
  <si>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</si>
  <si>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</si>
  <si>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</si>
  <si>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</si>
  <si>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</si>
  <si>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</si>
  <si>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</si>
  <si>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</si>
  <si>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</si>
  <si>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</si>
  <si>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</si>
  <si>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</si>
  <si>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</si>
  <si>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</si>
  <si>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</si>
  <si>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</si>
  <si>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</si>
  <si>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</si>
  <si>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</si>
  <si>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</si>
  <si>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</si>
  <si>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</si>
  <si>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</si>
  <si>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</si>
  <si>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</si>
  <si>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</si>
  <si>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</si>
  <si>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</si>
  <si>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</si>
  <si>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</si>
  <si>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</si>
  <si>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</si>
  <si>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</si>
  <si>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</si>
  <si>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</si>
  <si>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</si>
  <si>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</si>
  <si>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</si>
  <si>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</si>
  <si>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</si>
  <si>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</si>
  <si>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</si>
  <si>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</si>
  <si>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</si>
  <si>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</si>
  <si>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</si>
  <si>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</si>
  <si>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</si>
  <si>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</si>
  <si>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</si>
  <si>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</si>
  <si>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</si>
  <si>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</si>
  <si>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</si>
  <si>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</si>
  <si>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</si>
  <si>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</si>
  <si>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</si>
  <si>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</si>
  <si>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</si>
  <si>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</si>
  <si>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</si>
  <si>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</si>
  <si>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</si>
  <si>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</si>
  <si>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</si>
  <si>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</si>
  <si>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</si>
  <si>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</si>
  <si>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</si>
  <si>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</si>
  <si>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</si>
  <si>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</si>
  <si>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</si>
  <si>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</si>
  <si>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</si>
  <si>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</si>
  <si>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</si>
  <si>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</si>
  <si>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</si>
  <si>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</si>
  <si>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</si>
  <si>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</si>
  <si>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</si>
  <si>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</si>
  <si>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</si>
  <si>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</si>
  <si>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</si>
  <si>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</si>
  <si>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</si>
  <si>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</si>
  <si>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</si>
  <si>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</si>
  <si>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</si>
  <si>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</si>
  <si>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</si>
  <si>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</si>
  <si>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</si>
  <si>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</si>
  <si>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</si>
  <si>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</si>
  <si>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</si>
  <si>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</si>
  <si>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</si>
  <si>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</si>
  <si>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</si>
  <si>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</si>
  <si>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</si>
  <si>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</si>
  <si>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</si>
  <si>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</si>
  <si>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</si>
  <si>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</si>
  <si>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</si>
  <si>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</si>
  <si>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</si>
  <si>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</si>
  <si>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</si>
  <si>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</si>
  <si>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</si>
  <si>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</si>
  <si>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</si>
  <si>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</si>
  <si>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</si>
  <si>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</si>
  <si>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</si>
  <si>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</si>
  <si>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</si>
  <si>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</si>
  <si>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</si>
  <si>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</si>
  <si>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</si>
  <si>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</si>
  <si>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</si>
  <si>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</si>
  <si>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</si>
  <si>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</si>
  <si>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</si>
  <si>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</si>
  <si>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</si>
  <si>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</si>
  <si>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</si>
  <si>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</si>
  <si>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</si>
  <si>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</si>
  <si>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</si>
  <si>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</si>
  <si>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</si>
  <si>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</si>
  <si>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</si>
  <si>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</si>
  <si>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</si>
  <si>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</si>
  <si>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</si>
  <si>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</si>
  <si>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</si>
  <si>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</si>
  <si>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</si>
  <si>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</si>
  <si>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</si>
  <si>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</si>
  <si>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</si>
  <si>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</si>
  <si>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</si>
  <si>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</si>
  <si>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</si>
  <si>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</si>
  <si>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</si>
  <si>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</si>
  <si>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</si>
  <si>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</si>
  <si>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</si>
  <si>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</si>
  <si>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</si>
  <si>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</si>
  <si>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</si>
  <si>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</si>
  <si>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</si>
  <si>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</si>
  <si>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</si>
  <si>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</si>
  <si>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</si>
  <si>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</si>
  <si>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</si>
  <si>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</si>
  <si>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</si>
  <si>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</si>
  <si>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</si>
  <si>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</si>
  <si>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</si>
  <si>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</si>
  <si>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</si>
  <si>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</si>
  <si>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</si>
  <si>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</si>
  <si>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</si>
  <si>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</si>
  <si>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</si>
  <si>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</si>
  <si>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</si>
  <si>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</si>
  <si>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</si>
  <si>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</si>
  <si>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</si>
  <si>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</si>
  <si>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</si>
  <si>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</si>
  <si>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</si>
  <si>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</si>
  <si>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</si>
  <si>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</si>
  <si>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</si>
  <si>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</si>
  <si>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</si>
  <si>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</si>
  <si>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</si>
  <si>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</si>
  <si>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</si>
  <si>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</si>
  <si>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</si>
  <si>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</si>
  <si>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</si>
  <si>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</si>
  <si>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</si>
  <si>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</si>
  <si>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</si>
  <si>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</si>
  <si>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</si>
  <si>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</si>
  <si>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</si>
  <si>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</si>
  <si>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</si>
  <si>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</si>
  <si>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</si>
  <si>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</si>
  <si>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</si>
  <si>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</si>
  <si>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</si>
  <si>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</si>
  <si>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</si>
  <si>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</si>
  <si>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</si>
  <si>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</si>
  <si>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</si>
  <si>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</si>
  <si>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</si>
  <si>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</si>
  <si>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</si>
  <si>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</si>
  <si>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</si>
  <si>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</si>
  <si>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</si>
  <si>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</si>
  <si>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</si>
  <si>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</si>
  <si>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</si>
  <si>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</si>
  <si>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</si>
  <si>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</si>
  <si>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</si>
  <si>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</si>
  <si>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</si>
  <si>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</si>
  <si>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</si>
  <si>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</si>
  <si>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</si>
  <si>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</si>
  <si>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</si>
  <si>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</si>
  <si>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</si>
  <si>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</si>
  <si>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</si>
  <si>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</si>
  <si>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</si>
  <si>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</si>
  <si>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</si>
  <si>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</si>
  <si>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</si>
  <si>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</si>
  <si>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</si>
  <si>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</si>
  <si>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</si>
  <si>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</si>
  <si>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</si>
  <si>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</si>
  <si>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</si>
  <si>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</si>
  <si>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</si>
  <si>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</si>
  <si>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</si>
  <si>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</si>
  <si>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</si>
  <si>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</si>
  <si>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</si>
  <si>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</si>
  <si>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</si>
  <si>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</si>
  <si>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</si>
  <si>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</si>
  <si>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</si>
  <si>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</si>
  <si>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</si>
  <si>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</si>
  <si>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</si>
  <si>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</si>
  <si>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</si>
  <si>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</si>
  <si>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</si>
  <si>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</si>
  <si>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</si>
  <si>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</si>
  <si>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</si>
  <si>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</si>
  <si>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</si>
  <si>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</si>
  <si>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</si>
  <si>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</si>
  <si>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</si>
  <si>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</si>
  <si>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</si>
  <si>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</si>
  <si>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</si>
  <si>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</si>
  <si>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</si>
  <si>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</si>
  <si>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</si>
  <si>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</si>
  <si>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</si>
  <si>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</si>
  <si>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</si>
  <si>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</si>
  <si>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</si>
  <si>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</si>
  <si>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</si>
  <si>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</si>
  <si>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</si>
  <si>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</si>
  <si>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</si>
  <si>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</si>
  <si>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</si>
  <si>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</si>
  <si>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</si>
  <si>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</si>
  <si>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</si>
  <si>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</si>
  <si>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</si>
  <si>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</si>
  <si>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</si>
  <si>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</si>
  <si>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</si>
  <si>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</si>
  <si>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</si>
  <si>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</si>
  <si>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</si>
  <si>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</si>
  <si>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</si>
  <si>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</si>
  <si>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</si>
  <si>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</si>
  <si>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</si>
  <si>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</si>
  <si>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</si>
  <si>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</si>
  <si>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</si>
  <si>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</si>
  <si>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</si>
  <si>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</si>
  <si>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</si>
  <si>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</si>
  <si>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</si>
  <si>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</si>
  <si>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</si>
  <si>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</si>
  <si>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</si>
  <si>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</si>
  <si>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</si>
  <si>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</si>
  <si>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</si>
  <si>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</si>
  <si>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</si>
  <si>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</si>
  <si>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</si>
  <si>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</si>
  <si>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</si>
  <si>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</si>
  <si>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</si>
  <si>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</si>
  <si>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</si>
  <si>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</si>
  <si>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</si>
  <si>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</si>
  <si>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</si>
  <si>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</si>
  <si>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</si>
  <si>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</si>
  <si>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</si>
  <si>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</si>
  <si>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</si>
  <si>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</si>
  <si>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</si>
  <si>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</si>
  <si>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</si>
  <si>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</si>
  <si>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</si>
  <si>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</si>
  <si>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</si>
  <si>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</si>
  <si>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</si>
  <si>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</si>
  <si>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</si>
  <si>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</si>
  <si>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</si>
  <si>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</si>
  <si>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</si>
  <si>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</si>
  <si>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</si>
  <si>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</si>
  <si>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</si>
  <si>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</si>
  <si>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</si>
  <si>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</si>
  <si>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</si>
  <si>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</si>
  <si>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</si>
  <si>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</si>
  <si>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</si>
  <si>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</si>
  <si>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</si>
  <si>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</si>
  <si>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</si>
  <si>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</si>
  <si>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</si>
  <si>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</si>
  <si>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</si>
  <si>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</si>
  <si>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</si>
  <si>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</si>
  <si>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</si>
  <si>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</si>
  <si>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</si>
  <si>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</si>
  <si>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</si>
  <si>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</si>
  <si>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</si>
  <si>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</si>
  <si>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</si>
  <si>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</si>
  <si>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</si>
  <si>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</si>
  <si>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</si>
  <si>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</si>
  <si>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</si>
  <si>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</si>
  <si>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</si>
  <si>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</si>
  <si>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</si>
  <si>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</si>
  <si>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</si>
  <si>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</si>
  <si>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</si>
  <si>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</si>
  <si>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</si>
  <si>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</si>
  <si>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</si>
  <si>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</si>
  <si>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</si>
  <si>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</si>
  <si>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</si>
  <si>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</si>
  <si>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</si>
  <si>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</si>
  <si>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</si>
  <si>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</si>
  <si>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</si>
  <si>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</si>
  <si>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</si>
  <si>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</si>
  <si>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</si>
  <si>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</si>
  <si>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</si>
  <si>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</si>
  <si>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</si>
  <si>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</si>
  <si>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</si>
  <si>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</si>
  <si>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</si>
  <si>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</si>
  <si>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</si>
  <si>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</si>
  <si>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</si>
  <si>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</si>
  <si>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</si>
  <si>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</si>
  <si>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</si>
  <si>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</si>
  <si>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</si>
  <si>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</si>
  <si>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</si>
  <si>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</si>
  <si>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</si>
  <si>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</si>
  <si>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</si>
  <si>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</si>
  <si>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</si>
  <si>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</si>
  <si>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</si>
  <si>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</si>
  <si>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</si>
  <si>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</si>
  <si>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</si>
  <si>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</si>
  <si>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</si>
  <si>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</si>
  <si>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</si>
  <si>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</si>
  <si>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</si>
  <si>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</si>
  <si>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</si>
  <si>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</si>
  <si>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</si>
  <si>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</si>
  <si>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</si>
  <si>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</si>
  <si>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</si>
  <si>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</si>
  <si>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</si>
  <si>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</si>
  <si>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</si>
  <si>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</si>
  <si>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</si>
  <si>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</si>
  <si>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</si>
  <si>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</si>
  <si>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</si>
  <si>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</si>
  <si>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</si>
  <si>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</si>
  <si>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</si>
  <si>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</si>
  <si>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</si>
  <si>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</si>
  <si>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</si>
  <si>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</si>
  <si>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</si>
  <si>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</si>
  <si>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</si>
  <si>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</si>
  <si>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</si>
  <si>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</si>
  <si>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</si>
  <si>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</si>
  <si>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</si>
  <si>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</si>
  <si>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</si>
  <si>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</si>
  <si>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</si>
  <si>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</si>
  <si>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</si>
  <si>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</si>
  <si>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</si>
  <si>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</si>
  <si>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</si>
  <si>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</si>
  <si>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</si>
  <si>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</si>
  <si>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</si>
  <si>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</si>
  <si>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</si>
  <si>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</si>
  <si>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</si>
  <si>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</si>
  <si>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</si>
  <si>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</si>
  <si>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</si>
  <si>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</si>
  <si>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</si>
  <si>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</si>
  <si>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</si>
  <si>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</si>
  <si>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</si>
  <si>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</si>
  <si>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</si>
  <si>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</si>
  <si>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</si>
  <si>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</si>
  <si>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</si>
  <si>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</si>
  <si>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</si>
  <si>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</si>
  <si>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</si>
  <si>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</si>
  <si>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</si>
  <si>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</si>
  <si>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</si>
  <si>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</si>
  <si>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</si>
  <si>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</si>
  <si>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</si>
  <si>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</si>
  <si>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</si>
  <si>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</si>
  <si>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</si>
  <si>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</si>
  <si>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</si>
  <si>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</si>
  <si>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</si>
  <si>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</si>
  <si>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</si>
  <si>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</si>
  <si>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</si>
  <si>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</si>
  <si>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</si>
  <si>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</si>
  <si>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</si>
  <si>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</si>
  <si>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</si>
  <si>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</si>
  <si>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</si>
  <si>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</si>
  <si>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</si>
  <si>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</si>
  <si>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</si>
  <si>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</si>
  <si>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</si>
  <si>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</si>
  <si>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</si>
  <si>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</si>
  <si>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</si>
  <si>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</si>
  <si>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</si>
  <si>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</si>
  <si>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</si>
  <si>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</si>
  <si>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</si>
  <si>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</si>
  <si>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</si>
  <si>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</si>
  <si>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</si>
  <si>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</si>
  <si>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</si>
  <si>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</si>
  <si>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</si>
  <si>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</si>
  <si>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</si>
  <si>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</si>
  <si>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</si>
  <si>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</si>
  <si>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</si>
  <si>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</si>
  <si>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</si>
  <si>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</si>
  <si>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</si>
  <si>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</si>
  <si>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</si>
  <si>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</si>
  <si>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</si>
  <si>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</si>
  <si>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</si>
  <si>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</si>
  <si>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</si>
  <si>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</si>
  <si>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</si>
  <si>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</si>
  <si>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</si>
  <si>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</si>
  <si>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</si>
  <si>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</si>
  <si>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</si>
  <si>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</si>
  <si>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</si>
  <si>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</si>
  <si>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</si>
  <si>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</si>
  <si>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</si>
  <si>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</si>
  <si>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</si>
  <si>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</si>
  <si>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</si>
  <si>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</si>
  <si>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</si>
  <si>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</si>
  <si>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</si>
  <si>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</si>
  <si>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</si>
  <si>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</si>
  <si>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</si>
  <si>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</si>
  <si>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</si>
  <si>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</si>
  <si>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</si>
  <si>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</si>
  <si>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</si>
  <si>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</si>
  <si>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</si>
  <si>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</si>
  <si>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</si>
  <si>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</si>
  <si>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</si>
  <si>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</si>
  <si>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</si>
  <si>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</si>
  <si>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</si>
  <si>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</si>
  <si>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</si>
  <si>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</si>
  <si>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</si>
  <si>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</si>
  <si>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</si>
  <si>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</si>
  <si>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</si>
  <si>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</si>
  <si>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</si>
  <si>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</si>
  <si>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</si>
  <si>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</si>
  <si>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</si>
  <si>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</si>
  <si>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</si>
  <si>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</si>
  <si>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</si>
  <si>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</si>
  <si>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</si>
  <si>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</si>
  <si>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</si>
  <si>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</si>
  <si>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</si>
  <si>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</si>
  <si>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</si>
  <si>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</si>
  <si>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</si>
  <si>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</si>
  <si>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</si>
  <si>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</si>
  <si>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</si>
  <si>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</si>
  <si>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</si>
  <si>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</si>
  <si>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</si>
  <si>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</si>
  <si>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</si>
  <si>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</si>
  <si>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</si>
  <si>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</si>
  <si>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</si>
  <si>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</si>
  <si>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</si>
  <si>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</si>
  <si>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</si>
  <si>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</si>
  <si>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</si>
  <si>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</si>
  <si>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</si>
  <si>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</si>
  <si>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</si>
  <si>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</si>
  <si>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</si>
  <si>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</si>
  <si>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</si>
  <si>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</si>
  <si>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</si>
  <si>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</si>
  <si>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</si>
  <si>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</si>
  <si>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</si>
  <si>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</si>
  <si>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</si>
  <si>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</si>
  <si>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</si>
  <si>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</si>
  <si>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</si>
  <si>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</si>
  <si>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</si>
  <si>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</si>
  <si>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</si>
  <si>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</si>
  <si>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</si>
  <si>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</si>
  <si>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</si>
  <si>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</si>
  <si>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</si>
  <si>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</si>
  <si>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</si>
  <si>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</si>
  <si>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</si>
  <si>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</si>
  <si>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</si>
  <si>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</si>
  <si>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</si>
  <si>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</si>
  <si>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</si>
  <si>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</si>
  <si>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</si>
  <si>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</si>
  <si>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</si>
  <si>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</si>
  <si>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</si>
  <si>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</si>
  <si>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</si>
  <si>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</si>
  <si>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</si>
  <si>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</si>
  <si>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</si>
  <si>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</si>
  <si>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</si>
  <si>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</si>
  <si>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</si>
  <si>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</si>
  <si>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</si>
  <si>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</si>
  <si>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</si>
  <si>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</si>
  <si>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</si>
  <si>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</si>
  <si>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</si>
  <si>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</si>
  <si>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</si>
  <si>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</si>
  <si>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</si>
  <si>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</si>
  <si>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</si>
  <si>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</si>
  <si>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</si>
  <si>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</si>
  <si>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</si>
  <si>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</si>
  <si>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</si>
  <si>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</si>
  <si>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</si>
  <si>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</si>
  <si>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</si>
  <si>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</si>
  <si>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</si>
  <si>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</si>
  <si>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</si>
  <si>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</si>
  <si>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</si>
  <si>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</si>
  <si>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</si>
  <si>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</si>
  <si>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</si>
  <si>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</si>
  <si>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</si>
  <si>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</si>
  <si>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</si>
  <si>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</si>
  <si>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</si>
  <si>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</si>
  <si>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</si>
  <si>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</si>
  <si>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</si>
  <si>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</si>
  <si>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</si>
  <si>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</si>
  <si>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</si>
  <si>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</si>
  <si>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</si>
  <si>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</si>
  <si>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</si>
  <si>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</si>
  <si>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</si>
  <si>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</si>
  <si>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</si>
  <si>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</si>
  <si>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</si>
  <si>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</si>
  <si>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</si>
  <si>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</si>
  <si>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</si>
  <si>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</si>
  <si>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</si>
  <si>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</si>
  <si>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</si>
  <si>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</si>
  <si>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</si>
  <si>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</si>
  <si>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</si>
  <si>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</si>
  <si>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</si>
  <si>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</si>
  <si>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</si>
  <si>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</si>
  <si>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</si>
  <si>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</si>
  <si>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</si>
  <si>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</si>
  <si>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</si>
  <si>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</si>
  <si>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</si>
  <si>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</si>
  <si>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</si>
  <si>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</si>
  <si>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</si>
  <si>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</si>
  <si>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</si>
  <si>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</si>
  <si>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</si>
  <si>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</si>
  <si>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</si>
  <si>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</si>
  <si>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</si>
  <si>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</si>
  <si>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</si>
  <si>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</si>
  <si>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</si>
  <si>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</si>
  <si>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</si>
  <si>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</si>
  <si>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</si>
  <si>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</si>
  <si>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</si>
  <si>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</si>
  <si>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</si>
  <si>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</si>
  <si>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</si>
  <si>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</si>
  <si>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</si>
  <si>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</si>
  <si>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</si>
  <si>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</si>
  <si>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</si>
  <si>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</si>
  <si>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</si>
  <si>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</si>
  <si>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</si>
  <si>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</si>
  <si>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</si>
  <si>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</si>
  <si>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</si>
  <si>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</si>
  <si>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</si>
  <si>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</si>
  <si>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</si>
  <si>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</si>
  <si>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</si>
  <si>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</si>
  <si>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</si>
  <si>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</si>
  <si>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</si>
  <si>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</si>
  <si>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</si>
  <si>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</si>
  <si>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</si>
  <si>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</si>
  <si>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</si>
  <si>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</si>
  <si>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</si>
  <si>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</si>
  <si>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</si>
  <si>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</si>
  <si>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</si>
  <si>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</si>
  <si>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</si>
  <si>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</si>
  <si>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</si>
  <si>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</si>
  <si>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</si>
  <si>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</si>
  <si>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</si>
  <si>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</si>
  <si>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</si>
  <si>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</si>
  <si>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</si>
  <si>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</si>
  <si>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</si>
  <si>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</si>
  <si>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</si>
  <si>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</si>
  <si>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</si>
  <si>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</si>
  <si>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</si>
  <si>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</si>
  <si>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</si>
  <si>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</si>
  <si>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</si>
  <si>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</si>
  <si>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</si>
  <si>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</si>
  <si>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</si>
  <si>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</si>
  <si>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</si>
  <si>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</si>
  <si>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</si>
  <si>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</si>
  <si>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</si>
  <si>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</si>
  <si>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</si>
  <si>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</si>
  <si>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</si>
  <si>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</si>
  <si>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</si>
  <si>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</si>
  <si>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</si>
  <si>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</si>
  <si>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</si>
  <si>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</si>
  <si>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</si>
  <si>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</si>
  <si>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</si>
  <si>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</si>
  <si>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</si>
  <si>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</si>
  <si>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</si>
  <si>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</si>
  <si>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</si>
  <si>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</si>
  <si>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</si>
  <si>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</si>
  <si>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</si>
  <si>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</si>
  <si>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</si>
  <si>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</si>
  <si>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</si>
  <si>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</si>
  <si>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</si>
  <si>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</si>
  <si>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</si>
  <si>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</si>
  <si>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</si>
  <si>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</si>
  <si>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</si>
  <si>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</si>
  <si>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</si>
  <si>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</si>
  <si>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</si>
  <si>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</si>
  <si>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</si>
  <si>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</si>
  <si>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</si>
  <si>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</si>
  <si>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</si>
  <si>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</si>
  <si>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</si>
  <si>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</si>
  <si>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</si>
  <si>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</si>
  <si>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</si>
  <si>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</si>
  <si>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</si>
  <si>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</si>
  <si>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</si>
  <si>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</si>
  <si>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</si>
  <si>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</si>
  <si>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</si>
  <si>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</si>
  <si>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</si>
  <si>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</si>
  <si>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</si>
  <si>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</si>
  <si>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</si>
  <si>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</si>
  <si>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</si>
  <si>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</si>
  <si>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</si>
  <si>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</si>
  <si>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</si>
  <si>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</si>
  <si>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</si>
  <si>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</si>
  <si>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</si>
  <si>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</si>
  <si>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</si>
  <si>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</si>
  <si>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</si>
  <si>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</si>
  <si>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</si>
  <si>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</si>
  <si>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</si>
  <si>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</si>
  <si>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</si>
  <si>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</si>
  <si>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</si>
  <si>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</si>
  <si>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</si>
  <si>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</si>
  <si>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</si>
  <si>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</si>
  <si>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</si>
  <si>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</si>
  <si>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</si>
  <si>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</si>
  <si>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</si>
  <si>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</si>
  <si>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</si>
  <si>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</si>
  <si>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</si>
  <si>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</si>
  <si>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</si>
  <si>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</si>
  <si>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</si>
  <si>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</si>
  <si>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</si>
  <si>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</si>
  <si>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</si>
  <si>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</si>
  <si>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</si>
  <si>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</si>
  <si>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</si>
  <si>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</si>
  <si>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</si>
  <si>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</si>
  <si>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</si>
  <si>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</si>
  <si>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</si>
  <si>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</si>
  <si>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</si>
  <si>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</si>
  <si>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</si>
  <si>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</si>
  <si>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</si>
  <si>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</si>
  <si>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</si>
  <si>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</si>
  <si>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</si>
  <si>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</si>
  <si>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</si>
  <si>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</si>
  <si>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</si>
  <si>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</si>
  <si>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</si>
  <si>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</si>
  <si>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</si>
  <si>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</si>
  <si>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</si>
  <si>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</si>
  <si>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</si>
  <si>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</si>
  <si>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</si>
  <si>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</si>
  <si>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</si>
  <si>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</si>
  <si>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</si>
  <si>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</si>
  <si>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</si>
  <si>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</si>
  <si>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</si>
  <si>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</si>
  <si>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</si>
  <si>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</si>
  <si>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</si>
  <si>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</si>
  <si>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</si>
  <si>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</si>
  <si>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</si>
  <si>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</si>
  <si>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</si>
  <si>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</si>
  <si>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</si>
  <si>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</si>
  <si>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</si>
  <si>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</si>
  <si>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</si>
  <si>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</si>
  <si>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</si>
  <si>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</si>
  <si>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</si>
  <si>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</si>
  <si>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</si>
  <si>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</si>
  <si>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</si>
  <si>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</si>
  <si>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</si>
  <si>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</si>
  <si>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</si>
  <si>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</si>
  <si>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</si>
  <si>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</si>
  <si>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</si>
  <si>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</si>
  <si>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</si>
  <si>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</si>
  <si>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</si>
  <si>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</si>
  <si>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</si>
  <si>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</si>
  <si>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</si>
  <si>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</si>
  <si>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</si>
  <si>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</si>
  <si>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</si>
  <si>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</si>
  <si>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</si>
  <si>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</si>
  <si>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</si>
  <si>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</si>
  <si>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</si>
  <si>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</si>
  <si>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</si>
  <si>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</si>
  <si>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</si>
  <si>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</si>
  <si>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</si>
  <si>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</si>
  <si>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</si>
  <si>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</si>
  <si>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</si>
  <si>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</si>
  <si>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</si>
  <si>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</si>
  <si>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</si>
  <si>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</si>
  <si>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</si>
  <si>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</si>
  <si>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</si>
  <si>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</si>
  <si>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</si>
  <si>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</si>
  <si>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</si>
  <si>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</si>
  <si>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</si>
  <si>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</si>
  <si>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</si>
  <si>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</si>
  <si>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</si>
  <si>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</si>
  <si>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</si>
  <si>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</si>
  <si>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</si>
  <si>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</si>
  <si>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</si>
  <si>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</si>
  <si>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</si>
  <si>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</si>
  <si>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</si>
  <si>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</si>
  <si>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</si>
  <si>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</si>
  <si>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</si>
  <si>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</si>
  <si>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</si>
  <si>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</si>
  <si>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</si>
  <si>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</si>
  <si>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</si>
  <si>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</si>
  <si>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</si>
  <si>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</si>
  <si>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</si>
  <si>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</si>
  <si>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</si>
  <si>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</si>
  <si>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</si>
  <si>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</si>
  <si>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</si>
  <si>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</si>
  <si>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</si>
  <si>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</si>
  <si>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</si>
  <si>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</si>
  <si>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</si>
  <si>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</si>
  <si>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</si>
  <si>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</si>
  <si>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</si>
  <si>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</si>
  <si>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</si>
  <si>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</si>
  <si>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</si>
  <si>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</si>
  <si>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</si>
  <si>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</si>
  <si>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</si>
  <si>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</si>
  <si>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</si>
  <si>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</si>
  <si>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</si>
  <si>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</si>
  <si>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</si>
  <si>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</si>
  <si>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</si>
  <si>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</si>
  <si>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</si>
  <si>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</si>
  <si>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</si>
  <si>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</si>
  <si>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</si>
  <si>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</si>
  <si>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</si>
  <si>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</si>
  <si>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</si>
  <si>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</si>
  <si>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</si>
  <si>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</si>
  <si>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</si>
  <si>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</si>
  <si>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</si>
  <si>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</si>
  <si>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</si>
  <si>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</si>
  <si>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</si>
  <si>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</si>
  <si>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</si>
  <si>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</si>
  <si>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</si>
  <si>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</si>
  <si>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</si>
  <si>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</si>
  <si>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</si>
  <si>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</si>
  <si>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</si>
  <si>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</si>
  <si>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</si>
  <si>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</si>
  <si>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</si>
  <si>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</si>
  <si>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</si>
  <si>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</si>
  <si>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</si>
  <si>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</si>
  <si>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</si>
  <si>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</si>
  <si>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</si>
  <si>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</si>
  <si>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</si>
  <si>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</si>
  <si>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</si>
  <si>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</si>
  <si>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</si>
  <si>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</si>
  <si>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</si>
  <si>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</si>
  <si>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</si>
  <si>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</si>
  <si>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</si>
  <si>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</si>
  <si>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</si>
  <si>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</si>
  <si>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</si>
  <si>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</si>
  <si>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</si>
  <si>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</si>
  <si>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</si>
  <si>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</si>
  <si>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</si>
  <si>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</si>
  <si>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</si>
  <si>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</si>
  <si>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</si>
  <si>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</si>
  <si>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</si>
  <si>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</si>
  <si>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</si>
  <si>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</si>
  <si>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</si>
  <si>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</si>
  <si>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</si>
  <si>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</si>
  <si>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</si>
  <si>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</si>
  <si>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</si>
  <si>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</si>
  <si>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</si>
  <si>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</si>
  <si>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</si>
  <si>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</si>
  <si>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</si>
  <si>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</si>
  <si>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</si>
  <si>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</si>
  <si>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</si>
  <si>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</si>
  <si>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</si>
  <si>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</si>
  <si>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</si>
  <si>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</si>
  <si>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</si>
  <si>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</si>
  <si>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</si>
  <si>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</si>
  <si>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</si>
  <si>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</si>
  <si>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</si>
  <si>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</si>
  <si>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</si>
  <si>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</si>
  <si>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</si>
  <si>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</si>
  <si>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</si>
  <si>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</si>
  <si>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</si>
  <si>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</si>
  <si>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</si>
  <si>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</si>
  <si>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</si>
  <si>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</si>
  <si>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</si>
  <si>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</si>
  <si>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</si>
  <si>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</si>
  <si>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</si>
  <si>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</si>
  <si>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</si>
  <si>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</si>
  <si>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</si>
  <si>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</si>
  <si>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</si>
  <si>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</si>
  <si>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</si>
  <si>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</si>
  <si>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</si>
  <si>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</si>
  <si>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</si>
  <si>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</si>
  <si>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</si>
  <si>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</si>
  <si>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</si>
  <si>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</si>
  <si>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</si>
  <si>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</si>
  <si>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</si>
  <si>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</si>
  <si>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</si>
  <si>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</si>
  <si>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</si>
  <si>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</si>
  <si>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</si>
  <si>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</si>
  <si>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</si>
  <si>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</si>
  <si>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</si>
  <si>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</si>
  <si>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</si>
  <si>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</si>
  <si>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</si>
  <si>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</si>
  <si>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</si>
  <si>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</si>
  <si>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</si>
  <si>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</si>
  <si>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</si>
  <si>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</si>
  <si>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</si>
  <si>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</si>
  <si>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</si>
  <si>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</si>
  <si>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</si>
  <si>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</si>
  <si>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</si>
  <si>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</si>
  <si>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</si>
  <si>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</si>
  <si>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</si>
  <si>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</si>
  <si>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</si>
  <si>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</si>
  <si>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</si>
  <si>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</si>
  <si>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</si>
  <si>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</si>
  <si>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</si>
  <si>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</si>
  <si>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</si>
  <si>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</si>
  <si>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</si>
  <si>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</si>
  <si>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</si>
  <si>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</si>
  <si>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</si>
  <si>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</si>
  <si>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</si>
  <si>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</si>
  <si>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</si>
  <si>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</si>
  <si>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</si>
  <si>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</si>
  <si>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</si>
  <si>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</si>
  <si>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</si>
  <si>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</si>
  <si>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</si>
  <si>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</si>
  <si>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</si>
  <si>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</si>
  <si>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</si>
  <si>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</si>
  <si>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</si>
  <si>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</si>
  <si>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</si>
  <si>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</si>
  <si>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</si>
  <si>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</si>
  <si>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</si>
  <si>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</si>
  <si>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</si>
  <si>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</si>
  <si>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</si>
  <si>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</si>
  <si>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</si>
  <si>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</si>
  <si>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</si>
  <si>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</si>
  <si>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</si>
  <si>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</si>
  <si>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</si>
  <si>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</si>
  <si>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</si>
  <si>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</si>
  <si>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</si>
  <si>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</si>
  <si>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</si>
  <si>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</si>
  <si>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</si>
  <si>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</si>
  <si>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</si>
  <si>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</si>
  <si>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</si>
  <si>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</si>
  <si>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</si>
  <si>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</si>
  <si>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</si>
  <si>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</si>
  <si>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</si>
  <si>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</si>
  <si>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</si>
  <si>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</si>
  <si>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</si>
  <si>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</si>
  <si>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</si>
  <si>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</si>
  <si>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</si>
  <si>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</si>
  <si>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</si>
  <si>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</si>
  <si>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</si>
  <si>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</si>
  <si>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</si>
  <si>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</si>
  <si>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</si>
  <si>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</si>
  <si>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</si>
  <si>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</si>
  <si>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</si>
  <si>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</si>
  <si>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</si>
  <si>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</si>
  <si>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</si>
  <si>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</si>
  <si>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</si>
  <si>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</si>
  <si>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</si>
  <si>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</si>
  <si>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</si>
  <si>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</si>
  <si>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</si>
  <si>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</si>
  <si>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</si>
  <si>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</si>
  <si>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</si>
  <si>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</si>
  <si>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</si>
  <si>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</si>
  <si>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</si>
  <si>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</si>
  <si>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</si>
  <si>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</si>
  <si>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</si>
  <si>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</si>
  <si>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</si>
  <si>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</si>
  <si>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</si>
  <si>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</si>
  <si>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</si>
  <si>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</si>
  <si>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</si>
  <si>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</si>
  <si>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</si>
  <si>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</si>
  <si>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</si>
  <si>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</si>
  <si>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</si>
  <si>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</si>
  <si>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</si>
  <si>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</si>
  <si>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</si>
  <si>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</si>
  <si>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</si>
  <si>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</si>
  <si>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</si>
  <si>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</si>
  <si>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</si>
  <si>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</si>
  <si>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</si>
  <si>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</si>
  <si>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</si>
  <si>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</si>
  <si>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</si>
  <si>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</si>
  <si>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</si>
  <si>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</si>
  <si>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</si>
  <si>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</si>
  <si>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</si>
  <si>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</si>
  <si>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</si>
  <si>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</si>
  <si>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</si>
  <si>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</si>
  <si>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</si>
  <si>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</si>
  <si>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</si>
  <si>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</si>
  <si>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</si>
  <si>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</si>
  <si>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</si>
  <si>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</si>
  <si>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</si>
  <si>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</si>
  <si>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</si>
  <si>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</si>
  <si>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</si>
  <si>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</si>
  <si>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</si>
  <si>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</si>
  <si>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</si>
  <si>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</si>
  <si>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</si>
  <si>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</si>
  <si>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</si>
  <si>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</si>
  <si>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</si>
  <si>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</si>
  <si>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</si>
  <si>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</si>
  <si>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</si>
  <si>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</si>
  <si>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</si>
  <si>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</si>
  <si>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</si>
  <si>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</si>
  <si>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</si>
  <si>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</si>
  <si>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</si>
  <si>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</si>
  <si>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</si>
  <si>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</si>
  <si>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</si>
  <si>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</si>
  <si>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</si>
  <si>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</si>
  <si>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</si>
  <si>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</si>
  <si>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</si>
  <si>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</si>
  <si>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</si>
  <si>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</si>
  <si>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</si>
  <si>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</si>
  <si>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</si>
  <si>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</si>
  <si>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</si>
  <si>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</si>
  <si>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</si>
  <si>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</si>
  <si>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</si>
  <si>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</si>
  <si>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</si>
  <si>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</si>
  <si>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</si>
  <si>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</si>
  <si>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</si>
  <si>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</si>
  <si>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</si>
  <si>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</si>
  <si>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</si>
  <si>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</si>
  <si>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</si>
  <si>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</si>
  <si>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</si>
  <si>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</si>
  <si>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</si>
  <si>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</si>
  <si>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</si>
  <si>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</si>
  <si>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</si>
  <si>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</si>
  <si>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</si>
  <si>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</si>
  <si>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</si>
  <si>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</si>
  <si>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</si>
  <si>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</si>
  <si>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</si>
  <si>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</si>
  <si>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</si>
  <si>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</si>
  <si>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</si>
  <si>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</si>
  <si>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</si>
  <si>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</si>
  <si>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</si>
  <si>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</si>
  <si>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</si>
  <si>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</si>
  <si>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</si>
  <si>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</si>
  <si>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</si>
  <si>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</si>
  <si>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</si>
  <si>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</si>
  <si>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</si>
  <si>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</si>
  <si>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</si>
  <si>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</si>
  <si>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</si>
  <si>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</si>
  <si>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</si>
  <si>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</si>
  <si>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</si>
  <si>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</si>
  <si>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</si>
  <si>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</si>
  <si>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</si>
  <si>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</si>
  <si>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</si>
  <si>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</si>
  <si>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</si>
  <si>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</si>
  <si>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</si>
  <si>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</si>
  <si>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</si>
  <si>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</si>
  <si>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</si>
  <si>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</si>
  <si>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</si>
  <si>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</si>
  <si>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</si>
  <si>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</si>
  <si>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</si>
  <si>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</si>
  <si>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</si>
  <si>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</si>
  <si>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</si>
  <si>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</si>
  <si>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</si>
  <si>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</si>
  <si>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</si>
  <si>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</si>
  <si>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</si>
  <si>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</si>
  <si>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</si>
  <si>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</si>
  <si>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</si>
  <si>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</si>
  <si>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</si>
  <si>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</si>
  <si>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</si>
  <si>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</si>
  <si>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</si>
  <si>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</si>
  <si>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</si>
  <si>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</si>
  <si>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</si>
  <si>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</si>
  <si>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</si>
  <si>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</si>
  <si>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</si>
  <si>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</si>
  <si>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</si>
  <si>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</si>
  <si>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</si>
  <si>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</si>
  <si>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</si>
  <si>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</si>
  <si>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</si>
  <si>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</si>
  <si>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</si>
  <si>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</si>
  <si>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</si>
  <si>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</si>
  <si>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</si>
  <si>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</si>
  <si>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</si>
  <si>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</si>
  <si>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</si>
  <si>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</si>
  <si>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</si>
  <si>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</si>
  <si>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</si>
  <si>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</si>
  <si>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</si>
  <si>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</si>
  <si>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</si>
  <si>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</si>
  <si>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</si>
  <si>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</si>
  <si>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</si>
  <si>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</si>
  <si>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</si>
  <si>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</si>
  <si>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</si>
  <si>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</si>
  <si>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</si>
  <si>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</si>
  <si>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</si>
  <si>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</si>
  <si>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</si>
  <si>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</si>
  <si>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</si>
  <si>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</si>
  <si>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</si>
  <si>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</si>
  <si>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</si>
  <si>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</si>
  <si>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</si>
  <si>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</si>
  <si>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</si>
  <si>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</si>
  <si>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</si>
  <si>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</si>
  <si>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</si>
  <si>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</si>
  <si>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</si>
  <si>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</si>
  <si>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</si>
  <si>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</si>
  <si>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</si>
  <si>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</si>
  <si>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</si>
  <si>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</si>
  <si>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</si>
  <si>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</si>
  <si>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</si>
  <si>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</si>
  <si>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</si>
  <si>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</si>
  <si>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</si>
  <si>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</si>
  <si>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</si>
  <si>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</si>
  <si>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</si>
  <si>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</si>
  <si>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</si>
  <si>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</si>
  <si>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</si>
  <si>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</si>
  <si>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</si>
  <si>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</si>
  <si>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</si>
  <si>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</si>
  <si>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</si>
  <si>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</si>
  <si>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</si>
  <si>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</si>
  <si>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</si>
  <si>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</si>
  <si>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</si>
  <si>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</si>
  <si>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</si>
  <si>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</si>
  <si>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</si>
  <si>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</si>
  <si>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</si>
  <si>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</si>
  <si>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</si>
  <si>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</si>
  <si>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</si>
  <si>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</si>
  <si>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</si>
  <si>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</si>
  <si>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</si>
  <si>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</si>
  <si>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</si>
  <si>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</si>
  <si>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</si>
  <si>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</si>
  <si>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</si>
  <si>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</si>
  <si>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</si>
  <si>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</si>
  <si>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</si>
  <si>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</si>
  <si>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</si>
  <si>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</si>
  <si>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</si>
  <si>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</si>
  <si>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</si>
  <si>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</si>
  <si>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</si>
  <si>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</si>
  <si>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</si>
  <si>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</si>
  <si>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</si>
  <si>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</si>
  <si>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</si>
  <si>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</si>
  <si>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</si>
  <si>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</si>
  <si>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</si>
  <si>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</si>
  <si>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</si>
  <si>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</si>
  <si>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</si>
  <si>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</si>
  <si>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</si>
  <si>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</si>
  <si>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</si>
  <si>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</si>
  <si>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</si>
  <si>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</si>
  <si>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</si>
  <si>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</si>
  <si>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</si>
  <si>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</si>
  <si>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</si>
  <si>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</si>
  <si>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</si>
  <si>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</si>
  <si>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</si>
  <si>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</si>
  <si>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</si>
  <si>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</si>
  <si>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</si>
  <si>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</si>
  <si>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</si>
  <si>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</si>
  <si>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</si>
  <si>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</si>
  <si>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</si>
  <si>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</si>
  <si>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</si>
  <si>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</si>
  <si>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</si>
  <si>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</si>
  <si>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</si>
  <si>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</si>
  <si>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</si>
  <si>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</si>
  <si>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</si>
  <si>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</si>
  <si>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</si>
  <si>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</si>
  <si>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</si>
  <si>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</si>
  <si>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</si>
  <si>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</si>
  <si>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</si>
  <si>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</si>
  <si>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</si>
  <si>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</si>
  <si>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</si>
  <si>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</si>
  <si>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</si>
  <si>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</si>
  <si>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</si>
  <si>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</si>
  <si>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</si>
  <si>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</si>
  <si>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</si>
  <si>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</si>
  <si>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</si>
  <si>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</si>
  <si>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</si>
  <si>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</si>
  <si>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</si>
  <si>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</si>
  <si>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</si>
  <si>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</si>
  <si>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</si>
  <si>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</si>
  <si>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</si>
  <si>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</si>
  <si>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</si>
  <si>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</si>
  <si>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</si>
  <si>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</si>
  <si>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</si>
  <si>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</si>
  <si>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</si>
  <si>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</si>
  <si>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</si>
  <si>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</si>
  <si>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</si>
  <si>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</si>
  <si>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</si>
  <si>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</si>
  <si>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</si>
  <si>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</si>
  <si>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</si>
  <si>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</si>
  <si>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</si>
  <si>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</si>
  <si>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</si>
  <si>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</si>
  <si>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</si>
  <si>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</si>
  <si>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</si>
  <si>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</si>
  <si>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</si>
  <si>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</si>
  <si>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</si>
  <si>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</si>
  <si>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</si>
  <si>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</si>
  <si>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</si>
  <si>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</si>
  <si>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</si>
  <si>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</si>
  <si>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</si>
  <si>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</si>
  <si>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</si>
  <si>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</si>
  <si>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</si>
  <si>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</si>
  <si>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</si>
  <si>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</si>
  <si>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</si>
  <si>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</si>
  <si>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</si>
  <si>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</si>
  <si>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</si>
  <si>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</si>
  <si>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</si>
  <si>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</si>
  <si>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</si>
  <si>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</si>
  <si>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</si>
  <si>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</si>
  <si>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</si>
  <si>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</si>
  <si>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</si>
  <si>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</si>
  <si>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</si>
  <si>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</si>
  <si>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</si>
  <si>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</si>
  <si>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</si>
  <si>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</si>
  <si>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</si>
  <si>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</si>
  <si>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</si>
  <si>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</si>
  <si>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</si>
  <si>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</si>
  <si>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</si>
  <si>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</si>
  <si>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</si>
  <si>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</si>
  <si>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</si>
  <si>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</si>
  <si>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</si>
  <si>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</si>
  <si>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</si>
  <si>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</si>
  <si>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</si>
  <si>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</si>
  <si>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</si>
  <si>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</si>
  <si>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</si>
  <si>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</si>
  <si>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</si>
  <si>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</si>
  <si>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</si>
  <si>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</si>
  <si>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</si>
  <si>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</si>
  <si>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</si>
  <si>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</si>
  <si>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</si>
  <si>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</si>
  <si>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</si>
  <si>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</si>
  <si>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</si>
  <si>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</si>
  <si>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</si>
  <si>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</si>
  <si>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</si>
  <si>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</si>
  <si>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</si>
  <si>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</si>
  <si>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</si>
  <si>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</si>
  <si>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</si>
  <si>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</si>
  <si>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</si>
  <si>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</si>
  <si>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</si>
  <si>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</si>
  <si>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</si>
  <si>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</si>
  <si>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</si>
  <si>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</si>
  <si>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</si>
  <si>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</si>
  <si>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</si>
  <si>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</si>
  <si>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</si>
  <si>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</si>
  <si>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</si>
  <si>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</si>
  <si>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</si>
  <si>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</si>
  <si>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</si>
  <si>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</si>
  <si>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</si>
  <si>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</si>
  <si>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</si>
  <si>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</si>
  <si>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</si>
  <si>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</si>
  <si>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</si>
  <si>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</si>
  <si>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</si>
  <si>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</si>
  <si>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</si>
  <si>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</si>
  <si>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</si>
  <si>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</si>
  <si>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</si>
  <si>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</si>
  <si>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</si>
  <si>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</si>
  <si>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</si>
  <si>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</si>
  <si>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</si>
  <si>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</si>
  <si>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</si>
  <si>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</si>
  <si>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</si>
  <si>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</si>
  <si>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</si>
  <si>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</si>
  <si>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</si>
  <si>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</si>
  <si>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</si>
  <si>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</si>
  <si>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</si>
  <si>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</si>
  <si>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</si>
  <si>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</si>
  <si>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</si>
  <si>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</si>
  <si>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</si>
  <si>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</si>
  <si>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</si>
  <si>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</si>
  <si>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</si>
  <si>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</si>
  <si>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</si>
  <si>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</si>
  <si>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</si>
  <si>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</si>
  <si>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</si>
  <si>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</si>
  <si>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</si>
  <si>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</si>
  <si>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</si>
  <si>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</si>
  <si>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</si>
  <si>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</si>
  <si>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</si>
  <si>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</si>
  <si>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</si>
  <si>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</si>
  <si>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</si>
  <si>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</si>
  <si>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</si>
  <si>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</si>
  <si>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</si>
  <si>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</si>
  <si>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</si>
  <si>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</si>
  <si>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</si>
  <si>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</si>
  <si>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</si>
  <si>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</si>
  <si>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</si>
  <si>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</si>
  <si>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</si>
  <si>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</si>
  <si>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</si>
  <si>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</si>
  <si>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</si>
  <si>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</si>
  <si>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</si>
  <si>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</si>
  <si>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</si>
  <si>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</si>
  <si>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</si>
  <si>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</si>
  <si>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</si>
  <si>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</si>
  <si>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</si>
  <si>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</si>
  <si>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</si>
  <si>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</si>
  <si>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</si>
  <si>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</si>
  <si>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</si>
  <si>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</si>
  <si>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</si>
  <si>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</si>
  <si>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</si>
  <si>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</si>
  <si>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</si>
  <si>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</si>
  <si>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</si>
  <si>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</si>
  <si>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</si>
  <si>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</si>
  <si>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</si>
  <si>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</si>
  <si>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</si>
  <si>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</si>
  <si>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</si>
  <si>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</si>
  <si>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</si>
  <si>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</si>
  <si>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</si>
  <si>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</si>
  <si>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</si>
  <si>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</si>
  <si>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</si>
  <si>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</si>
  <si>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</si>
  <si>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</si>
  <si>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</si>
  <si>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</si>
  <si>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</si>
  <si>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</si>
  <si>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</si>
  <si>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</si>
  <si>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</si>
  <si>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</si>
  <si>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</si>
  <si>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</si>
  <si>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</si>
  <si>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</si>
  <si>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</si>
  <si>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</si>
  <si>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</si>
  <si>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</si>
  <si>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</si>
  <si>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</si>
  <si>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</si>
  <si>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</si>
  <si>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</si>
  <si>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</si>
  <si>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</si>
  <si>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</si>
  <si>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</si>
  <si>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</si>
  <si>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</si>
  <si>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</si>
  <si>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</si>
  <si>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</si>
  <si>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</si>
  <si>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</si>
  <si>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</si>
  <si>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</si>
  <si>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</si>
  <si>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</si>
  <si>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</si>
  <si>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</si>
  <si>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</si>
  <si>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</si>
  <si>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</si>
  <si>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</si>
  <si>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</si>
  <si>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</si>
  <si>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</si>
  <si>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</si>
  <si>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</si>
  <si>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</si>
  <si>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</si>
  <si>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</si>
  <si>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</si>
  <si>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</si>
  <si>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</si>
  <si>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</si>
  <si>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</si>
  <si>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</si>
  <si>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</si>
  <si>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</si>
  <si>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</si>
  <si>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</si>
  <si>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</si>
  <si>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</si>
  <si>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</si>
  <si>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</si>
  <si>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</si>
  <si>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</si>
  <si>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</si>
  <si>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</si>
  <si>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</si>
  <si>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</si>
  <si>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</si>
  <si>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</si>
  <si>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</si>
  <si>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</si>
  <si>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</si>
  <si>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</si>
  <si>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</si>
  <si>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</si>
  <si>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</si>
  <si>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</si>
  <si>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</si>
  <si>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</si>
  <si>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</si>
  <si>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</si>
  <si>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</si>
  <si>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</si>
  <si>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</si>
  <si>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</si>
  <si>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</si>
  <si>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</si>
  <si>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</si>
  <si>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</si>
  <si>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</si>
  <si>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</si>
  <si>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</si>
  <si>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</si>
  <si>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</si>
  <si>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</si>
  <si>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</si>
  <si>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</si>
  <si>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</si>
  <si>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</si>
  <si>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</si>
  <si>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</si>
  <si>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</si>
  <si>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</si>
  <si>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</si>
  <si>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</si>
  <si>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</si>
  <si>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</si>
  <si>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</si>
  <si>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</si>
  <si>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</si>
  <si>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</si>
  <si>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</si>
  <si>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</si>
  <si>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</si>
  <si>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</si>
  <si>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</si>
  <si>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</si>
  <si>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</si>
  <si>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</si>
  <si>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</si>
  <si>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</si>
  <si>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</si>
  <si>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</si>
  <si>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</si>
  <si>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</si>
  <si>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</si>
  <si>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</si>
  <si>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</si>
  <si>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</si>
  <si>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</si>
  <si>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</si>
  <si>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</si>
  <si>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</si>
  <si>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</si>
  <si>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</si>
  <si>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</si>
  <si>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</si>
  <si>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</si>
  <si>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</si>
  <si>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</si>
  <si>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</si>
  <si>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</si>
  <si>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</si>
  <si>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</si>
  <si>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</si>
  <si>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</si>
  <si>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</si>
  <si>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</si>
  <si>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</si>
  <si>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</si>
  <si>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</si>
  <si>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</si>
  <si>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</si>
  <si>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</si>
  <si>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</si>
  <si>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</si>
  <si>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</si>
  <si>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</si>
  <si>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</si>
  <si>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</si>
  <si>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</si>
  <si>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</si>
  <si>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</si>
  <si>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</si>
  <si>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</si>
  <si>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</si>
  <si>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</si>
  <si>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</si>
  <si>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</si>
  <si>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</si>
  <si>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</si>
  <si>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</si>
  <si>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</si>
  <si>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</si>
  <si>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</si>
  <si>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</si>
  <si>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</si>
  <si>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</si>
  <si>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</si>
  <si>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</si>
  <si>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</si>
  <si>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</si>
  <si>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</si>
  <si>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</si>
  <si>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</si>
  <si>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</si>
  <si>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</si>
  <si>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</si>
  <si>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</si>
  <si>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</si>
  <si>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</si>
  <si>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</si>
  <si>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</si>
  <si>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</si>
  <si>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</si>
  <si>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</si>
  <si>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</si>
  <si>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</si>
  <si>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</si>
  <si>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</si>
  <si>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</si>
  <si>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</si>
  <si>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</si>
  <si>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</si>
  <si>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</si>
  <si>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</si>
  <si>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</si>
  <si>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</si>
  <si>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</si>
  <si>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</si>
  <si>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</si>
  <si>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</si>
  <si>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</si>
  <si>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</si>
  <si>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</si>
  <si>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</si>
  <si>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</si>
  <si>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</si>
  <si>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</si>
  <si>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</si>
  <si>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</si>
  <si>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</si>
  <si>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</si>
  <si>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</si>
  <si>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</si>
  <si>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</si>
  <si>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</si>
  <si>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</si>
  <si>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</si>
  <si>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</si>
  <si>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</si>
  <si>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</si>
  <si>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</si>
  <si>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</si>
  <si>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</si>
  <si>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</si>
  <si>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</si>
  <si>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</si>
  <si>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</si>
  <si>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</si>
  <si>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</si>
  <si>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</si>
  <si>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</si>
  <si>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</si>
  <si>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</si>
  <si>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</si>
  <si>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</si>
  <si>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</si>
  <si>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</si>
  <si>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</si>
  <si>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</si>
  <si>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</si>
  <si>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</si>
  <si>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</si>
  <si>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</si>
  <si>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</si>
  <si>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</si>
  <si>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</si>
  <si>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</si>
  <si>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</si>
  <si>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</si>
  <si>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</si>
  <si>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</si>
  <si>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</si>
  <si>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</si>
  <si>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</si>
  <si>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</si>
  <si>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</si>
  <si>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</si>
  <si>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</si>
  <si>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</si>
  <si>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</si>
  <si>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</si>
  <si>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</si>
  <si>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</si>
  <si>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</si>
  <si>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</si>
  <si>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</si>
  <si>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</si>
  <si>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</si>
  <si>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</si>
  <si>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</si>
  <si>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</si>
  <si>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</si>
  <si>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</si>
  <si>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</si>
  <si>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</si>
  <si>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</si>
  <si>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</si>
  <si>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</si>
  <si>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</si>
  <si>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</si>
  <si>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</si>
  <si>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</si>
  <si>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</si>
  <si>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</si>
  <si>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</si>
  <si>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</si>
  <si>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</si>
  <si>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</si>
  <si>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</si>
  <si>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</si>
  <si>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</si>
  <si>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</si>
  <si>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</si>
  <si>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</si>
  <si>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</si>
  <si>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</si>
  <si>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</si>
  <si>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</si>
  <si>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</si>
  <si>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</si>
  <si>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</si>
  <si>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</si>
  <si>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</si>
  <si>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</si>
  <si>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</si>
  <si>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</si>
  <si>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</si>
  <si>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</si>
  <si>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</si>
  <si>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</si>
  <si>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</si>
  <si>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</si>
  <si>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</si>
  <si>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</si>
  <si>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</si>
  <si>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</si>
  <si>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</si>
  <si>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</si>
  <si>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</si>
  <si>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</si>
  <si>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</si>
  <si>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</si>
  <si>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</si>
  <si>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</si>
  <si>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</si>
  <si>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</si>
  <si>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</si>
  <si>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</si>
  <si>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</si>
  <si>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</si>
  <si>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</si>
  <si>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</si>
  <si>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</si>
  <si>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</si>
  <si>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</si>
  <si>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</si>
  <si>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</si>
  <si>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</si>
  <si>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</si>
  <si>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</si>
  <si>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</si>
  <si>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</si>
  <si>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</si>
  <si>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</si>
  <si>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</si>
  <si>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</si>
  <si>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</si>
  <si>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</si>
  <si>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</si>
  <si>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</si>
  <si>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</si>
  <si>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</si>
  <si>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</si>
  <si>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</si>
  <si>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</si>
  <si>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</si>
  <si>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</si>
  <si>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</si>
  <si>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</si>
  <si>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</si>
  <si>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</si>
  <si>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</si>
  <si>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</si>
  <si>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</si>
  <si>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</si>
  <si>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</si>
  <si>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</si>
  <si>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</si>
  <si>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</si>
  <si>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</si>
  <si>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</si>
  <si>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</si>
  <si>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</si>
  <si>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</si>
  <si>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</si>
  <si>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</si>
  <si>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</si>
  <si>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</si>
  <si>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</si>
  <si>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</si>
  <si>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</si>
  <si>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</si>
  <si>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</si>
  <si>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</si>
  <si>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</si>
  <si>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</si>
  <si>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</si>
  <si>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</si>
  <si>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</si>
  <si>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</si>
  <si>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</si>
  <si>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 xml:space="preserve">Umbragroup S.p.A.						</t>
  </si>
  <si>
    <t>65667</t>
  </si>
  <si>
    <t xml:space="preserve">Via Valter Baldaccini 1 Foligno 06034 PG </t>
  </si>
  <si>
    <t xml:space="preserve">Bryan Colurciello						</t>
  </si>
  <si>
    <t>BColurciello@umbragroup.com</t>
  </si>
  <si>
    <t>0742348618</t>
  </si>
  <si>
    <t>Alessio Nicolì</t>
  </si>
  <si>
    <t>Supply Chain Operations &amp; Quality Manager</t>
  </si>
  <si>
    <t>Anicoli@umbragroup.com</t>
  </si>
  <si>
    <t>0742348644</t>
  </si>
  <si>
    <t>100%</t>
  </si>
  <si>
    <t>We maintain a dose and constant dialogue with our direct suppliers in order to ensure the best possible transparency in the global supply chains, "smelters list"</t>
  </si>
  <si>
    <t>www.umbragroup.com</t>
  </si>
  <si>
    <t>Japan</t>
  </si>
  <si>
    <t>Germany</t>
  </si>
  <si>
    <t>Uzbekistan</t>
  </si>
  <si>
    <t>Brazil</t>
  </si>
  <si>
    <t>Switzerland</t>
  </si>
  <si>
    <t>Turkey</t>
  </si>
  <si>
    <t>United States Of America</t>
  </si>
  <si>
    <t>Philippines</t>
  </si>
  <si>
    <t>Mexico</t>
  </si>
  <si>
    <t>Canada</t>
  </si>
  <si>
    <t>China</t>
  </si>
  <si>
    <t>Italy</t>
  </si>
  <si>
    <t>Indonesia</t>
  </si>
  <si>
    <t>Korea, Republic Of</t>
  </si>
  <si>
    <t>Bolivia (Plurinational State Of)</t>
  </si>
  <si>
    <t>Poland</t>
  </si>
  <si>
    <t>Hong Kong SAR</t>
  </si>
  <si>
    <t>Kazakhstan</t>
  </si>
  <si>
    <t>Malaysia</t>
  </si>
  <si>
    <t>India</t>
  </si>
  <si>
    <t>Maharashtra</t>
  </si>
  <si>
    <t>Peru</t>
  </si>
  <si>
    <t>Estonia</t>
  </si>
  <si>
    <t>Thailand</t>
  </si>
  <si>
    <t>South Africa</t>
  </si>
  <si>
    <t>Taiwan, Province Of China</t>
  </si>
  <si>
    <t>Spain</t>
  </si>
  <si>
    <t>Belgium</t>
  </si>
  <si>
    <t>Viet Nam</t>
  </si>
  <si>
    <t>Australia</t>
  </si>
  <si>
    <t>Austria</t>
  </si>
  <si>
    <t>Czechia</t>
  </si>
  <si>
    <t>Haryana</t>
  </si>
  <si>
    <t>Netherlands</t>
  </si>
  <si>
    <t>France</t>
  </si>
  <si>
    <t>Andorra</t>
  </si>
  <si>
    <t>Sungai Samak</t>
  </si>
  <si>
    <t>Chile</t>
  </si>
  <si>
    <t>Myanmar</t>
  </si>
  <si>
    <t>Rwanda</t>
  </si>
  <si>
    <t>Colombia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</si>
</sst>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_€_-;\-* #,##0\ _€_-;_-* &quot;-&quot;\ _€_-;_-@_-"/>
    <numFmt numFmtId="174" formatCode="_-* #,##0.00\ _€_-;\-* #,##0.00\ _€_-;_-* &quot;-&quot;??\ _€_-;_-@_-"/>
    <numFmt numFmtId="175" formatCode="_-&quot;€&quot;\ * #,##0_-;\-&quot;€&quot;\ * #,##0_-;_-&quot;€&quot;\ * &quot;-&quot;_-;_-@_-"/>
    <numFmt numFmtId="176" formatCode="_-&quot;€&quot;\ * #,##0.00_-;\-&quot;€&quot;\ * #,##0.00_-;_-&quot;€&quot;\ * &quot;-&quot;??_-;_-@_-"/>
  </numFmts>
  <fonts count="101">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u/>
      <sz val="12"/>
      <color rgb="FF0000FF"/>
      <name val="Cambria"/>
      <family val="3"/>
      <charset val="128"/>
    </font>
    <font>
      <u/>
      <sz val="10"/>
      <color rgb="FF0000FF"/>
      <name val="Cambria"/>
      <family val="3"/>
      <charset val="128"/>
    </font>
  </fonts>
  <fills count="50">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rgb="FF000000"/>
      </patternFill>
    </fill>
  </fills>
  <borders count="69">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
      <left/>
      <right/>
      <top/>
      <bottom style="thick">
        <color theme="4" tint="0.49992370372631001"/>
      </bottom>
      <diagonal/>
    </border>
  </borders>
  <cellStyleXfs count="869">
    <xf numFmtId="0" fontId="0" fillId="0" borderId="0"/>
    <xf numFmtId="0" fontId="56" fillId="2" borderId="0" applyNumberFormat="0" applyBorder="0" applyAlignment="0" applyProtection="0"/>
    <xf numFmtId="0" fontId="56" fillId="3" borderId="0" applyNumberFormat="0" applyBorder="0" applyAlignment="0" applyProtection="0"/>
    <xf numFmtId="0" fontId="56" fillId="4" borderId="0" applyNumberFormat="0" applyBorder="0" applyAlignment="0" applyProtection="0"/>
    <xf numFmtId="0" fontId="56" fillId="5" borderId="0" applyNumberFormat="0" applyBorder="0" applyAlignment="0" applyProtection="0"/>
    <xf numFmtId="0" fontId="56" fillId="6" borderId="0" applyNumberFormat="0" applyBorder="0" applyAlignment="0" applyProtection="0"/>
    <xf numFmtId="0" fontId="56" fillId="7" borderId="0" applyNumberFormat="0" applyBorder="0" applyAlignment="0" applyProtection="0"/>
    <xf numFmtId="0" fontId="56" fillId="8" borderId="0" applyNumberFormat="0" applyBorder="0" applyAlignment="0" applyProtection="0"/>
    <xf numFmtId="0" fontId="56" fillId="9" borderId="0" applyNumberFormat="0" applyBorder="0" applyAlignment="0" applyProtection="0"/>
    <xf numFmtId="0" fontId="56" fillId="10" borderId="0" applyNumberFormat="0" applyBorder="0" applyAlignment="0" applyProtection="0"/>
    <xf numFmtId="0" fontId="56" fillId="11" borderId="0" applyNumberFormat="0" applyBorder="0" applyAlignment="0" applyProtection="0"/>
    <xf numFmtId="0" fontId="56" fillId="12" borderId="0" applyNumberFormat="0" applyBorder="0" applyAlignment="0" applyProtection="0"/>
    <xf numFmtId="0" fontId="56" fillId="13" borderId="0" applyNumberFormat="0" applyBorder="0" applyAlignment="0" applyProtection="0"/>
    <xf numFmtId="0" fontId="57" fillId="14" borderId="0" applyNumberFormat="0" applyBorder="0" applyAlignment="0" applyProtection="0"/>
    <xf numFmtId="0" fontId="57" fillId="15" borderId="0" applyNumberFormat="0" applyBorder="0" applyAlignment="0" applyProtection="0"/>
    <xf numFmtId="0" fontId="57" fillId="16" borderId="0" applyNumberFormat="0" applyBorder="0" applyAlignment="0" applyProtection="0"/>
    <xf numFmtId="0" fontId="57" fillId="17" borderId="0" applyNumberFormat="0" applyBorder="0" applyAlignment="0" applyProtection="0"/>
    <xf numFmtId="0" fontId="57" fillId="18" borderId="0" applyNumberFormat="0" applyBorder="0" applyAlignment="0" applyProtection="0"/>
    <xf numFmtId="0" fontId="57" fillId="19" borderId="0" applyNumberFormat="0" applyBorder="0" applyAlignment="0" applyProtection="0"/>
    <xf numFmtId="0" fontId="57" fillId="20" borderId="0" applyNumberFormat="0" applyBorder="0" applyAlignment="0" applyProtection="0"/>
    <xf numFmtId="0" fontId="57" fillId="21" borderId="0" applyNumberFormat="0" applyBorder="0" applyAlignment="0" applyProtection="0"/>
    <xf numFmtId="0" fontId="57" fillId="22" borderId="0" applyNumberFormat="0" applyBorder="0" applyAlignment="0" applyProtection="0"/>
    <xf numFmtId="0" fontId="57" fillId="23" borderId="0" applyNumberFormat="0" applyBorder="0" applyAlignment="0" applyProtection="0"/>
    <xf numFmtId="0" fontId="57" fillId="24" borderId="0" applyNumberFormat="0" applyBorder="0" applyAlignment="0" applyProtection="0"/>
    <xf numFmtId="0" fontId="57" fillId="25" borderId="0" applyNumberFormat="0" applyBorder="0" applyAlignment="0" applyProtection="0"/>
    <xf numFmtId="0" fontId="58" fillId="26" borderId="0" applyNumberFormat="0" applyBorder="0" applyAlignment="0" applyProtection="0"/>
    <xf numFmtId="0" fontId="59" fillId="26" borderId="0" applyNumberFormat="0" applyBorder="0" applyAlignment="0" applyProtection="0"/>
    <xf numFmtId="0" fontId="60" fillId="27" borderId="1" applyNumberFormat="0" applyAlignment="0" applyProtection="0"/>
    <xf numFmtId="0" fontId="61" fillId="28" borderId="2" applyNumberFormat="0" applyAlignment="0" applyProtection="0"/>
    <xf numFmtId="165" fontId="11" fillId="0" borderId="0" applyFont="0" applyFill="0" applyBorder="0" applyAlignment="0" applyProtection="0"/>
    <xf numFmtId="41"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64" fontId="11" fillId="0" borderId="0" applyFont="0" applyFill="0" applyBorder="0" applyAlignment="0" applyProtection="0"/>
    <xf numFmtId="171" fontId="11" fillId="0" borderId="0" applyFont="0" applyFill="0" applyBorder="0" applyAlignment="0" applyProtection="0"/>
    <xf numFmtId="42" fontId="11" fillId="0" borderId="0" applyFont="0" applyFill="0" applyBorder="0" applyAlignment="0" applyProtection="0"/>
    <xf numFmtId="175"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72"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16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8" fontId="89" fillId="0" borderId="0"/>
    <xf numFmtId="0" fontId="62" fillId="0" borderId="0" applyNumberFormat="0" applyFill="0" applyBorder="0" applyAlignment="0" applyProtection="0"/>
    <xf numFmtId="0" fontId="63" fillId="29" borderId="0" applyNumberFormat="0" applyBorder="0" applyAlignment="0" applyProtection="0"/>
    <xf numFmtId="0" fontId="64" fillId="0" borderId="3" applyNumberFormat="0" applyFill="0" applyAlignment="0" applyProtection="0"/>
    <xf numFmtId="0" fontId="65" fillId="0" borderId="4" applyNumberFormat="0" applyFill="0" applyAlignment="0" applyProtection="0"/>
    <xf numFmtId="0" fontId="66" fillId="0" borderId="5" applyNumberFormat="0" applyFill="0" applyAlignment="0" applyProtection="0"/>
    <xf numFmtId="0" fontId="66" fillId="0" borderId="0" applyNumberFormat="0" applyFill="0" applyBorder="0" applyAlignment="0" applyProtection="0"/>
    <xf numFmtId="0" fontId="9" fillId="0" borderId="0" applyNumberFormat="0" applyFill="0" applyBorder="0">
      <protection locked="0"/>
    </xf>
    <xf numFmtId="0" fontId="67" fillId="0" borderId="0" applyNumberFormat="0" applyFill="0" applyBorder="0" applyAlignment="0" applyProtection="0"/>
    <xf numFmtId="0" fontId="68" fillId="0" borderId="0" applyNumberFormat="0" applyFill="0" applyBorder="0" applyAlignment="0" applyProtection="0"/>
    <xf numFmtId="0" fontId="67" fillId="0" borderId="0" applyNumberFormat="0" applyFill="0" applyBorder="0">
      <protection locked="0"/>
    </xf>
    <xf numFmtId="0" fontId="67" fillId="0" borderId="0" applyNumberFormat="0" applyFill="0" applyBorder="0">
      <protection locked="0"/>
    </xf>
    <xf numFmtId="0" fontId="69" fillId="0" borderId="0" applyNumberFormat="0" applyFill="0" applyBorder="0" applyAlignment="0" applyProtection="0"/>
    <xf numFmtId="0" fontId="9" fillId="0" borderId="0" applyNumberFormat="0" applyFill="0" applyBorder="0">
      <protection locked="0"/>
    </xf>
    <xf numFmtId="0" fontId="98" fillId="0" borderId="0" applyNumberFormat="0" applyFill="0" applyBorder="0">
      <protection locked="0"/>
    </xf>
    <xf numFmtId="0" fontId="70" fillId="30" borderId="1" applyNumberFormat="0" applyAlignment="0" applyProtection="0"/>
    <xf numFmtId="0" fontId="71" fillId="0" borderId="6" applyNumberFormat="0" applyFill="0" applyAlignment="0" applyProtection="0"/>
    <xf numFmtId="0" fontId="72" fillId="31" borderId="0" applyNumberFormat="0" applyBorder="0" applyAlignment="0" applyProtection="0"/>
    <xf numFmtId="168" fontId="3" fillId="0" borderId="0"/>
    <xf numFmtId="0" fontId="89" fillId="0" borderId="0"/>
    <xf numFmtId="0" fontId="89" fillId="0" borderId="0"/>
    <xf numFmtId="168" fontId="3"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3" fillId="0" borderId="0"/>
    <xf numFmtId="0" fontId="3" fillId="0" borderId="0"/>
    <xf numFmtId="168" fontId="3" fillId="0" borderId="0"/>
    <xf numFmtId="0" fontId="8" fillId="0" borderId="0"/>
    <xf numFmtId="168" fontId="89" fillId="0" borderId="0"/>
    <xf numFmtId="0" fontId="56" fillId="0" borderId="0"/>
    <xf numFmtId="0" fontId="56" fillId="0" borderId="0"/>
    <xf numFmtId="168" fontId="8" fillId="0" borderId="0"/>
    <xf numFmtId="0" fontId="56" fillId="0" borderId="0"/>
    <xf numFmtId="0" fontId="8" fillId="0" borderId="0"/>
    <xf numFmtId="0" fontId="56" fillId="0" borderId="0"/>
    <xf numFmtId="0" fontId="73" fillId="0" borderId="0">
      <alignment vertical="center"/>
    </xf>
    <xf numFmtId="168" fontId="3" fillId="0" borderId="0"/>
    <xf numFmtId="0" fontId="74" fillId="0" borderId="0"/>
    <xf numFmtId="0" fontId="56" fillId="0" borderId="0"/>
    <xf numFmtId="0" fontId="89" fillId="0" borderId="0"/>
    <xf numFmtId="0" fontId="74" fillId="0" borderId="0"/>
    <xf numFmtId="0" fontId="56" fillId="0" borderId="0"/>
    <xf numFmtId="0" fontId="56" fillId="0" borderId="0"/>
    <xf numFmtId="0" fontId="56" fillId="0" borderId="0"/>
    <xf numFmtId="0" fontId="56" fillId="0" borderId="0"/>
    <xf numFmtId="0" fontId="56" fillId="0" borderId="0"/>
    <xf numFmtId="0" fontId="89" fillId="0" borderId="0"/>
    <xf numFmtId="0" fontId="56" fillId="0" borderId="0"/>
    <xf numFmtId="0" fontId="89" fillId="0" borderId="0"/>
    <xf numFmtId="0" fontId="56"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74" fillId="0" borderId="0"/>
    <xf numFmtId="0" fontId="74" fillId="0" borderId="0"/>
    <xf numFmtId="0" fontId="56"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89" fillId="0" borderId="0"/>
    <xf numFmtId="0" fontId="56" fillId="0" borderId="0"/>
    <xf numFmtId="0" fontId="56" fillId="0" borderId="0"/>
    <xf numFmtId="168" fontId="3" fillId="0" borderId="0"/>
    <xf numFmtId="168" fontId="3" fillId="0" borderId="0"/>
    <xf numFmtId="0" fontId="75" fillId="0" borderId="0"/>
    <xf numFmtId="0" fontId="89" fillId="0" borderId="0"/>
    <xf numFmtId="0" fontId="11" fillId="0" borderId="0"/>
    <xf numFmtId="0" fontId="56" fillId="32" borderId="7" applyNumberFormat="0" applyFont="0" applyAlignment="0" applyProtection="0"/>
    <xf numFmtId="0" fontId="76" fillId="27" borderId="8" applyNumberFormat="0" applyAlignment="0" applyProtection="0"/>
    <xf numFmtId="9" fontId="11" fillId="0" borderId="0" applyFont="0" applyFill="0" applyBorder="0" applyAlignment="0" applyProtection="0"/>
    <xf numFmtId="0" fontId="89"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56" fillId="0" borderId="0"/>
    <xf numFmtId="0" fontId="3" fillId="0" borderId="0"/>
    <xf numFmtId="0" fontId="77" fillId="0" borderId="0" applyNumberFormat="0" applyFill="0" applyBorder="0" applyAlignment="0" applyProtection="0"/>
    <xf numFmtId="0" fontId="78" fillId="0" borderId="9" applyNumberFormat="0" applyFill="0" applyAlignment="0" applyProtection="0"/>
    <xf numFmtId="0" fontId="79" fillId="0" borderId="0" applyNumberFormat="0" applyFill="0" applyBorder="0" applyAlignment="0" applyProtection="0"/>
    <xf numFmtId="168" fontId="11" fillId="0" borderId="0"/>
    <xf numFmtId="0" fontId="89" fillId="0" borderId="0"/>
    <xf numFmtId="0" fontId="89" fillId="0" borderId="0"/>
    <xf numFmtId="0" fontId="89" fillId="0" borderId="0"/>
    <xf numFmtId="168" fontId="89" fillId="0" borderId="0"/>
    <xf numFmtId="0" fontId="2" fillId="0" borderId="0"/>
    <xf numFmtId="0" fontId="1" fillId="37" borderId="0" applyNumberFormat="0" applyBorder="0" applyAlignment="0" applyProtection="0"/>
    <xf numFmtId="0" fontId="1" fillId="38" borderId="0" applyNumberFormat="0" applyBorder="0" applyAlignment="0" applyProtection="0"/>
    <xf numFmtId="0" fontId="1" fillId="39" borderId="0" applyNumberFormat="0" applyBorder="0" applyAlignment="0" applyProtection="0"/>
    <xf numFmtId="0" fontId="1" fillId="40" borderId="0" applyNumberFormat="0" applyBorder="0" applyAlignment="0" applyProtection="0"/>
    <xf numFmtId="0" fontId="1" fillId="41" borderId="0" applyNumberFormat="0" applyBorder="0" applyAlignment="0" applyProtection="0"/>
    <xf numFmtId="0" fontId="1" fillId="42" borderId="0" applyNumberFormat="0" applyBorder="0" applyAlignment="0" applyProtection="0"/>
    <xf numFmtId="0" fontId="1" fillId="43" borderId="0" applyNumberFormat="0" applyBorder="0" applyAlignment="0" applyProtection="0"/>
    <xf numFmtId="0" fontId="1" fillId="44" borderId="0" applyNumberFormat="0" applyBorder="0" applyAlignment="0" applyProtection="0"/>
    <xf numFmtId="0" fontId="1" fillId="45" borderId="0" applyNumberFormat="0" applyBorder="0" applyAlignment="0" applyProtection="0"/>
    <xf numFmtId="0" fontId="1" fillId="46" borderId="0" applyNumberFormat="0" applyBorder="0" applyAlignment="0" applyProtection="0"/>
    <xf numFmtId="0" fontId="1" fillId="47" borderId="0" applyNumberFormat="0" applyBorder="0" applyAlignment="0" applyProtection="0"/>
    <xf numFmtId="0" fontId="1" fillId="48" borderId="0" applyNumberFormat="0" applyBorder="0" applyAlignment="0" applyProtection="0"/>
    <xf numFmtId="41" fontId="11" fillId="0" borderId="0" applyFont="0" applyFill="0" applyBorder="0" applyAlignment="0" applyProtection="0"/>
    <xf numFmtId="41"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2"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65" fillId="0" borderId="68" applyNumberFormat="0" applyFill="0" applyAlignment="0" applyProtection="0"/>
    <xf numFmtId="0" fontId="67" fillId="0" borderId="0" applyNumberFormat="0" applyFill="0" applyBorder="0">
      <protection locked="0"/>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32" borderId="7"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9" fillId="0" borderId="0"/>
  </cellStyleXfs>
  <cellXfs count="412">
    <xf numFmtId="0" fontId="0" fillId="0" borderId="0" xfId="0"/>
    <xf numFmtId="0" fontId="16" fillId="33" borderId="10" xfId="0" applyFont="1" applyFill="1" applyBorder="1" applyAlignment="1">
      <alignment horizontal="center" vertical="center"/>
    </xf>
    <xf numFmtId="0" fontId="26" fillId="33" borderId="11" xfId="570" applyFont="1" applyFill="1" applyBorder="1" applyAlignment="1">
      <alignment horizontal="center" vertical="top" wrapText="1"/>
    </xf>
    <xf numFmtId="0" fontId="0" fillId="33" borderId="0" xfId="0" applyFill="1"/>
    <xf numFmtId="0" fontId="12" fillId="33" borderId="0" xfId="0" applyFont="1" applyFill="1" applyAlignment="1">
      <alignment horizontal="center" vertical="center"/>
    </xf>
    <xf numFmtId="0" fontId="10" fillId="33" borderId="0" xfId="0" applyFont="1" applyFill="1"/>
    <xf numFmtId="0" fontId="15"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2" fillId="33" borderId="0" xfId="0" applyFont="1" applyFill="1" applyAlignment="1">
      <alignment vertical="center"/>
    </xf>
    <xf numFmtId="0" fontId="18" fillId="33" borderId="0" xfId="0" applyFont="1" applyFill="1" applyAlignment="1">
      <alignment horizontal="left" wrapText="1"/>
    </xf>
    <xf numFmtId="0" fontId="16" fillId="33" borderId="0" xfId="0" applyFont="1" applyFill="1" applyAlignment="1">
      <alignment vertical="center"/>
    </xf>
    <xf numFmtId="0" fontId="16" fillId="33" borderId="0" xfId="0" applyFont="1" applyFill="1" applyAlignment="1">
      <alignment horizontal="center" vertical="center"/>
    </xf>
    <xf numFmtId="0" fontId="0" fillId="33" borderId="0" xfId="0" applyFill="1" applyAlignment="1">
      <alignment vertical="top"/>
    </xf>
    <xf numFmtId="0" fontId="10" fillId="33" borderId="0" xfId="0" applyFont="1" applyFill="1" applyProtection="1">
      <protection hidden="1"/>
    </xf>
    <xf numFmtId="0" fontId="12" fillId="33" borderId="0" xfId="0" applyFont="1" applyFill="1" applyAlignment="1" applyProtection="1">
      <alignment horizontal="center" vertical="top"/>
      <protection hidden="1"/>
    </xf>
    <xf numFmtId="0" fontId="12" fillId="33" borderId="0" xfId="0" applyFont="1" applyFill="1" applyAlignment="1" applyProtection="1">
      <alignment vertical="center"/>
      <protection hidden="1"/>
    </xf>
    <xf numFmtId="0" fontId="16"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5" fillId="33" borderId="0" xfId="0" applyFont="1" applyFill="1" applyAlignment="1" applyProtection="1">
      <alignment horizontal="right" vertical="center"/>
      <protection hidden="1"/>
    </xf>
    <xf numFmtId="0" fontId="12" fillId="33" borderId="15" xfId="0" applyFont="1" applyFill="1" applyBorder="1" applyAlignment="1" applyProtection="1">
      <alignment vertical="center" wrapText="1"/>
      <protection hidden="1"/>
    </xf>
    <xf numFmtId="0" fontId="12"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6" fillId="33" borderId="18" xfId="570" applyFont="1" applyFill="1" applyBorder="1" applyAlignment="1">
      <alignment vertical="top" wrapText="1"/>
    </xf>
    <xf numFmtId="168" fontId="26" fillId="33" borderId="18" xfId="570" applyNumberFormat="1" applyFont="1" applyFill="1" applyBorder="1" applyAlignment="1">
      <alignment horizontal="center" vertical="top" wrapText="1"/>
    </xf>
    <xf numFmtId="0" fontId="12" fillId="33" borderId="0" xfId="0" applyFont="1" applyFill="1" applyAlignment="1">
      <alignment horizontal="left"/>
    </xf>
    <xf numFmtId="0" fontId="15" fillId="33" borderId="0" xfId="0" applyFont="1" applyFill="1" applyAlignment="1">
      <alignment horizontal="left"/>
    </xf>
    <xf numFmtId="0" fontId="38" fillId="33" borderId="19" xfId="570" applyFont="1" applyFill="1" applyBorder="1" applyAlignment="1">
      <alignment horizontal="center" vertical="center" wrapText="1"/>
    </xf>
    <xf numFmtId="0" fontId="38"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2" fillId="33" borderId="21" xfId="0" applyFont="1" applyFill="1" applyBorder="1" applyAlignment="1">
      <alignment vertical="center"/>
    </xf>
    <xf numFmtId="0" fontId="4" fillId="33" borderId="16" xfId="0" applyFont="1" applyFill="1" applyBorder="1" applyAlignment="1">
      <alignment vertical="center"/>
    </xf>
    <xf numFmtId="0" fontId="19" fillId="33" borderId="22" xfId="0" applyFont="1" applyFill="1" applyBorder="1" applyAlignment="1" applyProtection="1">
      <alignment horizontal="center" vertical="center"/>
      <protection locked="0" hidden="1"/>
    </xf>
    <xf numFmtId="0" fontId="12" fillId="33" borderId="23" xfId="0" applyFont="1" applyFill="1" applyBorder="1" applyAlignment="1">
      <alignment vertical="center"/>
    </xf>
    <xf numFmtId="0" fontId="4" fillId="33" borderId="24" xfId="0" applyFont="1" applyFill="1" applyBorder="1" applyAlignment="1">
      <alignment vertical="center"/>
    </xf>
    <xf numFmtId="0" fontId="15" fillId="33" borderId="22" xfId="0" applyFont="1" applyFill="1" applyBorder="1" applyAlignment="1" applyProtection="1">
      <alignment horizontal="right" vertical="center"/>
      <protection hidden="1"/>
    </xf>
    <xf numFmtId="0" fontId="12" fillId="33" borderId="15" xfId="0" applyFont="1" applyFill="1" applyBorder="1" applyAlignment="1">
      <alignment vertical="center"/>
    </xf>
    <xf numFmtId="0" fontId="12" fillId="33" borderId="25" xfId="0" applyFont="1" applyFill="1" applyBorder="1" applyAlignment="1">
      <alignment vertical="center"/>
    </xf>
    <xf numFmtId="0" fontId="4" fillId="33" borderId="26" xfId="0" applyFont="1" applyFill="1" applyBorder="1" applyAlignment="1">
      <alignment vertical="center"/>
    </xf>
    <xf numFmtId="0" fontId="15" fillId="33" borderId="27" xfId="0" applyFont="1" applyFill="1" applyBorder="1" applyAlignment="1" applyProtection="1">
      <alignment wrapText="1"/>
      <protection hidden="1"/>
    </xf>
    <xf numFmtId="0" fontId="0" fillId="34" borderId="19" xfId="0" applyFill="1" applyBorder="1"/>
    <xf numFmtId="0" fontId="15" fillId="33" borderId="28" xfId="0" applyFont="1" applyFill="1" applyBorder="1" applyAlignment="1" applyProtection="1">
      <alignment horizontal="right" vertical="center"/>
      <protection hidden="1"/>
    </xf>
    <xf numFmtId="0" fontId="31" fillId="33" borderId="0" xfId="0" applyFont="1" applyFill="1" applyAlignment="1">
      <alignment horizontal="right" vertical="center"/>
    </xf>
    <xf numFmtId="0" fontId="32" fillId="33" borderId="0" xfId="0" applyFont="1" applyFill="1" applyAlignment="1">
      <alignment vertical="center"/>
    </xf>
    <xf numFmtId="0" fontId="12" fillId="33" borderId="29" xfId="0" applyFont="1" applyFill="1" applyBorder="1" applyAlignment="1">
      <alignment vertical="center"/>
    </xf>
    <xf numFmtId="0" fontId="32" fillId="33" borderId="27" xfId="0" applyFont="1" applyFill="1" applyBorder="1" applyAlignment="1">
      <alignment vertical="center"/>
    </xf>
    <xf numFmtId="0" fontId="12" fillId="33" borderId="30" xfId="0"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Font="1" applyFill="1" applyBorder="1" applyAlignment="1" applyProtection="1">
      <alignment horizontal="left"/>
      <protection hidden="1"/>
    </xf>
    <xf numFmtId="0" fontId="16" fillId="33" borderId="10" xfId="0" applyFont="1" applyFill="1" applyBorder="1" applyAlignment="1">
      <alignment horizontal="left" vertical="center"/>
    </xf>
    <xf numFmtId="0" fontId="4" fillId="33" borderId="31" xfId="0" applyFont="1" applyFill="1" applyBorder="1" applyAlignment="1">
      <alignment vertical="center"/>
    </xf>
    <xf numFmtId="0" fontId="16" fillId="33" borderId="22" xfId="0" applyFont="1" applyFill="1" applyBorder="1" applyAlignment="1" applyProtection="1">
      <alignment vertical="center" wrapText="1"/>
      <protection hidden="1"/>
    </xf>
    <xf numFmtId="0" fontId="16" fillId="33" borderId="21" xfId="0" applyFont="1" applyFill="1" applyBorder="1" applyAlignment="1">
      <alignment vertical="center"/>
    </xf>
    <xf numFmtId="0" fontId="16" fillId="33" borderId="10" xfId="0"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Font="1" applyFill="1" applyBorder="1" applyAlignment="1">
      <alignment vertical="center"/>
    </xf>
    <xf numFmtId="0" fontId="16" fillId="33" borderId="10" xfId="0" applyFont="1" applyFill="1" applyBorder="1" applyAlignment="1" applyProtection="1">
      <alignment horizontal="center" vertical="center" wrapText="1"/>
      <protection hidden="1"/>
    </xf>
    <xf numFmtId="0" fontId="4" fillId="33" borderId="17" xfId="0" applyFont="1" applyFill="1" applyBorder="1" applyAlignment="1">
      <alignment vertical="center"/>
    </xf>
    <xf numFmtId="0" fontId="5" fillId="33" borderId="22" xfId="0" applyFont="1" applyFill="1" applyBorder="1" applyAlignment="1" applyProtection="1">
      <alignment horizontal="left" vertical="top" wrapText="1"/>
      <protection hidden="1"/>
    </xf>
    <xf numFmtId="0" fontId="10" fillId="0" borderId="0" xfId="589" applyFont="1"/>
    <xf numFmtId="0" fontId="89" fillId="0" borderId="0" xfId="589"/>
    <xf numFmtId="0" fontId="23" fillId="0" borderId="0" xfId="487" applyFont="1" applyFill="1" applyAlignment="1" applyProtection="1">
      <alignment horizontal="center"/>
      <protection hidden="1"/>
    </xf>
    <xf numFmtId="0" fontId="23" fillId="0" borderId="0" xfId="487" applyFont="1" applyFill="1" applyAlignment="1" applyProtection="1">
      <alignment horizontal="center" wrapText="1"/>
      <protection hidden="1"/>
    </xf>
    <xf numFmtId="0" fontId="5" fillId="0" borderId="0" xfId="0" applyFont="1" applyAlignment="1" applyProtection="1">
      <alignment horizontal="center"/>
      <protection hidden="1"/>
    </xf>
    <xf numFmtId="0" fontId="27"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5" fillId="33" borderId="27" xfId="0" applyFont="1" applyFill="1" applyBorder="1" applyAlignment="1" applyProtection="1">
      <alignment horizontal="center" wrapText="1"/>
      <protection hidden="1"/>
    </xf>
    <xf numFmtId="0" fontId="15"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2" fillId="33" borderId="33" xfId="0" applyFont="1" applyFill="1" applyBorder="1" applyAlignment="1" applyProtection="1">
      <alignment vertical="center"/>
      <protection hidden="1"/>
    </xf>
    <xf numFmtId="0" fontId="12" fillId="33" borderId="21" xfId="0" applyFont="1" applyFill="1" applyBorder="1" applyAlignment="1" applyProtection="1">
      <alignment vertical="center"/>
      <protection hidden="1"/>
    </xf>
    <xf numFmtId="0" fontId="12" fillId="33" borderId="34" xfId="0" applyFont="1" applyFill="1" applyBorder="1" applyAlignment="1" applyProtection="1">
      <alignment vertical="center"/>
      <protection hidden="1"/>
    </xf>
    <xf numFmtId="0" fontId="15" fillId="33" borderId="0" xfId="0" applyFont="1" applyFill="1" applyAlignment="1" applyProtection="1">
      <alignment wrapText="1"/>
      <protection hidden="1"/>
    </xf>
    <xf numFmtId="0" fontId="12" fillId="33" borderId="0" xfId="0" applyFont="1" applyFill="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Font="1" applyFill="1" applyBorder="1" applyAlignment="1" applyProtection="1">
      <alignment horizontal="left" vertical="center"/>
      <protection hidden="1"/>
    </xf>
    <xf numFmtId="0" fontId="18" fillId="33" borderId="27" xfId="0" applyFont="1" applyFill="1" applyBorder="1" applyAlignment="1" applyProtection="1">
      <alignment horizontal="left" vertical="center" wrapText="1"/>
      <protection hidden="1"/>
    </xf>
    <xf numFmtId="0" fontId="31" fillId="33" borderId="0" xfId="0" applyFont="1" applyFill="1" applyAlignment="1" applyProtection="1">
      <alignment horizontal="right" vertical="center"/>
      <protection hidden="1"/>
    </xf>
    <xf numFmtId="0" fontId="16" fillId="33" borderId="28" xfId="0" applyFont="1" applyFill="1" applyBorder="1" applyAlignment="1" applyProtection="1">
      <alignment horizontal="center" vertical="center"/>
      <protection hidden="1"/>
    </xf>
    <xf numFmtId="0" fontId="16" fillId="33" borderId="28" xfId="0" applyFont="1" applyFill="1" applyBorder="1" applyAlignment="1" applyProtection="1">
      <alignment horizontal="left" vertical="center"/>
      <protection hidden="1"/>
    </xf>
    <xf numFmtId="0" fontId="16" fillId="33" borderId="0" xfId="0" applyFont="1" applyFill="1" applyAlignment="1" applyProtection="1">
      <alignment horizontal="center" vertical="center"/>
      <protection hidden="1"/>
    </xf>
    <xf numFmtId="0" fontId="16"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9"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9" fillId="0" borderId="19" xfId="487" applyFill="1" applyBorder="1" applyAlignment="1" applyProtection="1">
      <alignment vertical="center" wrapText="1"/>
      <protection hidden="1"/>
    </xf>
    <xf numFmtId="0" fontId="16" fillId="33" borderId="22" xfId="0" applyFont="1" applyFill="1" applyBorder="1" applyAlignment="1" applyProtection="1">
      <alignment horizontal="left" vertical="center" wrapText="1"/>
      <protection locked="0"/>
    </xf>
    <xf numFmtId="0" fontId="36" fillId="0" borderId="0" xfId="0" applyFont="1" applyAlignment="1" applyProtection="1">
      <alignment vertical="center" wrapText="1"/>
      <protection hidden="1"/>
    </xf>
    <xf numFmtId="0" fontId="6" fillId="0" borderId="0" xfId="0" applyFont="1" applyAlignment="1">
      <alignment wrapText="1"/>
    </xf>
    <xf numFmtId="0" fontId="6" fillId="0" borderId="0" xfId="0" applyFont="1"/>
    <xf numFmtId="0" fontId="5" fillId="0" borderId="35" xfId="0" applyFont="1" applyBorder="1" applyAlignment="1" applyProtection="1">
      <alignment vertical="center" wrapText="1"/>
      <protection hidden="1"/>
    </xf>
    <xf numFmtId="0" fontId="23" fillId="0" borderId="35" xfId="487" applyFont="1" applyBorder="1" applyAlignment="1" applyProtection="1">
      <alignment horizontal="center"/>
      <protection hidden="1"/>
    </xf>
    <xf numFmtId="0" fontId="5" fillId="0" borderId="36" xfId="0" applyFont="1" applyBorder="1" applyAlignment="1" applyProtection="1">
      <alignment vertical="center" wrapText="1"/>
      <protection hidden="1"/>
    </xf>
    <xf numFmtId="0" fontId="34" fillId="0" borderId="35" xfId="0" applyFont="1" applyBorder="1" applyAlignment="1" applyProtection="1">
      <alignment vertical="center" wrapText="1"/>
      <protection hidden="1"/>
    </xf>
    <xf numFmtId="0" fontId="6" fillId="35" borderId="35" xfId="0" applyFont="1" applyFill="1" applyBorder="1" applyAlignment="1" applyProtection="1">
      <alignment wrapText="1"/>
      <protection hidden="1"/>
    </xf>
    <xf numFmtId="0" fontId="6"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30" fillId="0" borderId="0" xfId="0" applyFont="1" applyAlignment="1">
      <alignment horizontal="center" wrapText="1"/>
    </xf>
    <xf numFmtId="0" fontId="6" fillId="0" borderId="15" xfId="0" applyFont="1" applyBorder="1" applyAlignment="1">
      <alignment wrapText="1"/>
    </xf>
    <xf numFmtId="0" fontId="0" fillId="0" borderId="0" xfId="0" applyAlignment="1">
      <alignment vertical="top" wrapText="1"/>
    </xf>
    <xf numFmtId="0" fontId="6" fillId="0" borderId="15" xfId="0" applyFont="1" applyBorder="1" applyAlignment="1">
      <alignment vertical="top" wrapText="1"/>
    </xf>
    <xf numFmtId="0" fontId="5" fillId="0" borderId="0" xfId="0" applyFont="1" applyAlignment="1">
      <alignment wrapText="1"/>
    </xf>
    <xf numFmtId="0" fontId="6" fillId="0" borderId="0" xfId="0" applyFont="1" applyAlignment="1">
      <alignment horizontal="center" wrapText="1"/>
    </xf>
    <xf numFmtId="0" fontId="30" fillId="0" borderId="15" xfId="0" applyFont="1" applyBorder="1" applyAlignment="1">
      <alignment wrapText="1"/>
    </xf>
    <xf numFmtId="0" fontId="33" fillId="0" borderId="0" xfId="0" applyFont="1" applyAlignment="1">
      <alignment horizontal="right" wrapText="1"/>
    </xf>
    <xf numFmtId="0" fontId="35" fillId="33" borderId="14" xfId="0" applyFont="1" applyFill="1" applyBorder="1" applyAlignment="1" applyProtection="1">
      <alignment horizontal="center" vertical="center" wrapText="1"/>
      <protection hidden="1"/>
    </xf>
    <xf numFmtId="0" fontId="41" fillId="0" borderId="0" xfId="0" applyFont="1" applyAlignment="1" applyProtection="1">
      <alignment horizontal="center" wrapText="1"/>
      <protection hidden="1"/>
    </xf>
    <xf numFmtId="0" fontId="12" fillId="33" borderId="0" xfId="0" applyFont="1" applyFill="1" applyAlignment="1" applyProtection="1">
      <alignment horizontal="center" vertical="center" wrapText="1"/>
      <protection hidden="1"/>
    </xf>
    <xf numFmtId="0" fontId="9" fillId="0" borderId="0" xfId="487" applyFill="1" applyAlignment="1" applyProtection="1">
      <alignment horizontal="center"/>
      <protection hidden="1"/>
    </xf>
    <xf numFmtId="0" fontId="42" fillId="33" borderId="33" xfId="487" applyFont="1" applyFill="1" applyBorder="1" applyAlignment="1" applyProtection="1">
      <alignment horizontal="left" vertical="center"/>
      <protection hidden="1"/>
    </xf>
    <xf numFmtId="0" fontId="43" fillId="33" borderId="0" xfId="487" applyFont="1" applyFill="1" applyAlignment="1" applyProtection="1">
      <alignment vertical="center"/>
    </xf>
    <xf numFmtId="0" fontId="43" fillId="33" borderId="0" xfId="487" applyFont="1" applyFill="1" applyBorder="1" applyAlignment="1" applyProtection="1">
      <alignment horizontal="center" vertical="center"/>
      <protection hidden="1"/>
    </xf>
    <xf numFmtId="0" fontId="44" fillId="0" borderId="27" xfId="487" applyFont="1" applyFill="1" applyBorder="1" applyAlignment="1" applyProtection="1">
      <alignment horizontal="center"/>
      <protection hidden="1"/>
    </xf>
    <xf numFmtId="0" fontId="46" fillId="33" borderId="38" xfId="0" applyFont="1" applyFill="1" applyBorder="1" applyAlignment="1" applyProtection="1">
      <alignment horizontal="center" vertical="center" wrapText="1"/>
      <protection hidden="1"/>
    </xf>
    <xf numFmtId="0" fontId="46" fillId="33" borderId="0" xfId="0" applyFont="1" applyFill="1" applyAlignment="1" applyProtection="1">
      <alignment horizontal="center" vertical="center" wrapText="1"/>
      <protection hidden="1"/>
    </xf>
    <xf numFmtId="0" fontId="12" fillId="33" borderId="39" xfId="0" applyFont="1" applyFill="1" applyBorder="1" applyAlignment="1" applyProtection="1">
      <alignment vertical="center" wrapText="1"/>
      <protection locked="0"/>
    </xf>
    <xf numFmtId="0" fontId="12" fillId="33" borderId="40" xfId="0" applyFont="1" applyFill="1" applyBorder="1" applyAlignment="1" applyProtection="1">
      <alignment vertical="center" wrapText="1"/>
      <protection locked="0"/>
    </xf>
    <xf numFmtId="0" fontId="12" fillId="33" borderId="32" xfId="0" applyFont="1" applyFill="1" applyBorder="1" applyAlignment="1" applyProtection="1">
      <alignment vertical="center" wrapText="1"/>
      <protection locked="0"/>
    </xf>
    <xf numFmtId="0" fontId="15" fillId="33" borderId="15" xfId="0" applyFont="1" applyFill="1" applyBorder="1" applyAlignment="1" applyProtection="1">
      <alignment horizontal="center" wrapText="1"/>
      <protection locked="0"/>
    </xf>
    <xf numFmtId="0" fontId="15" fillId="33" borderId="41" xfId="0" applyFont="1" applyFill="1" applyBorder="1" applyAlignment="1" applyProtection="1">
      <alignment horizontal="center" wrapText="1"/>
      <protection hidden="1"/>
    </xf>
    <xf numFmtId="0" fontId="12" fillId="33" borderId="38" xfId="0" applyFont="1" applyFill="1" applyBorder="1" applyAlignment="1" applyProtection="1">
      <alignment vertical="center"/>
      <protection hidden="1"/>
    </xf>
    <xf numFmtId="0" fontId="37" fillId="33" borderId="15" xfId="0" applyFont="1" applyFill="1" applyBorder="1" applyAlignment="1">
      <alignment vertical="top" wrapText="1"/>
    </xf>
    <xf numFmtId="0" fontId="19" fillId="33" borderId="29" xfId="0" applyFont="1" applyFill="1" applyBorder="1" applyAlignment="1" applyProtection="1">
      <alignment horizontal="right" wrapText="1"/>
      <protection hidden="1"/>
    </xf>
    <xf numFmtId="0" fontId="13" fillId="33" borderId="42" xfId="0" applyFont="1" applyFill="1" applyBorder="1" applyAlignment="1">
      <alignment vertical="center" wrapText="1"/>
    </xf>
    <xf numFmtId="0" fontId="5" fillId="33" borderId="22" xfId="0" applyFont="1" applyFill="1" applyBorder="1" applyAlignment="1" applyProtection="1">
      <alignment horizontal="left" wrapText="1"/>
      <protection hidden="1"/>
    </xf>
    <xf numFmtId="0" fontId="53" fillId="0" borderId="0" xfId="0" applyFont="1" applyAlignment="1" applyProtection="1">
      <alignment horizontal="right" wrapText="1"/>
      <protection hidden="1"/>
    </xf>
    <xf numFmtId="0" fontId="5" fillId="0" borderId="43" xfId="0" applyFont="1" applyBorder="1" applyAlignment="1" applyProtection="1">
      <alignment horizontal="center"/>
      <protection hidden="1"/>
    </xf>
    <xf numFmtId="0" fontId="39" fillId="0" borderId="0" xfId="0" applyFont="1" applyProtection="1">
      <protection hidden="1"/>
    </xf>
    <xf numFmtId="2" fontId="26" fillId="33" borderId="11" xfId="570" applyNumberFormat="1" applyFont="1" applyFill="1" applyBorder="1" applyAlignment="1">
      <alignment horizontal="center" vertical="top" wrapText="1"/>
    </xf>
    <xf numFmtId="0" fontId="26" fillId="33" borderId="18" xfId="570" applyFont="1" applyFill="1" applyBorder="1" applyAlignment="1">
      <alignment horizontal="center" vertical="top" wrapText="1"/>
    </xf>
    <xf numFmtId="0" fontId="51" fillId="0" borderId="0" xfId="0" applyFont="1" applyAlignment="1">
      <alignment vertical="top" wrapText="1"/>
    </xf>
    <xf numFmtId="0" fontId="15" fillId="33" borderId="41" xfId="0" applyFont="1" applyFill="1" applyBorder="1" applyAlignment="1" applyProtection="1">
      <alignment horizontal="center" vertical="center" wrapText="1"/>
      <protection hidden="1"/>
    </xf>
    <xf numFmtId="0" fontId="15" fillId="33" borderId="44" xfId="0" applyFont="1" applyFill="1" applyBorder="1" applyAlignment="1" applyProtection="1">
      <alignment horizontal="center" vertical="center" wrapText="1"/>
      <protection hidden="1"/>
    </xf>
    <xf numFmtId="0" fontId="5" fillId="0" borderId="35" xfId="0" applyFont="1" applyBorder="1" applyAlignment="1" applyProtection="1">
      <alignment vertical="top" wrapText="1"/>
      <protection hidden="1"/>
    </xf>
    <xf numFmtId="0" fontId="50" fillId="0" borderId="0" xfId="0" applyFont="1"/>
    <xf numFmtId="0" fontId="0" fillId="36" borderId="0" xfId="0" applyFill="1" applyProtection="1">
      <protection hidden="1"/>
    </xf>
    <xf numFmtId="0" fontId="26" fillId="0" borderId="19" xfId="0" applyFont="1" applyBorder="1" applyAlignment="1">
      <alignment vertical="top" wrapText="1"/>
    </xf>
    <xf numFmtId="170" fontId="26" fillId="33" borderId="11" xfId="570" applyNumberFormat="1" applyFont="1" applyFill="1" applyBorder="1" applyAlignment="1">
      <alignment horizontal="center" vertical="top" wrapText="1"/>
    </xf>
    <xf numFmtId="1" fontId="41" fillId="0" borderId="0" xfId="0" applyNumberFormat="1" applyFont="1" applyAlignment="1" applyProtection="1">
      <alignment horizontal="center" vertical="center" wrapText="1"/>
      <protection hidden="1"/>
    </xf>
    <xf numFmtId="0" fontId="39" fillId="0" borderId="0" xfId="0" applyFont="1" applyAlignment="1" applyProtection="1">
      <alignment horizontal="center" vertical="center" wrapText="1"/>
      <protection hidden="1"/>
    </xf>
    <xf numFmtId="0" fontId="0" fillId="0" borderId="45" xfId="0" applyBorder="1"/>
    <xf numFmtId="0" fontId="80" fillId="11" borderId="0" xfId="0" applyFont="1" applyFill="1" applyProtection="1">
      <protection hidden="1"/>
    </xf>
    <xf numFmtId="0" fontId="54" fillId="0" borderId="0" xfId="0" applyFont="1" applyAlignment="1">
      <alignment vertical="top" wrapText="1"/>
    </xf>
    <xf numFmtId="0" fontId="5" fillId="36" borderId="35" xfId="0" applyFont="1" applyFill="1" applyBorder="1" applyAlignment="1" applyProtection="1">
      <alignment vertical="center" wrapText="1"/>
      <protection hidden="1"/>
    </xf>
    <xf numFmtId="0" fontId="12" fillId="33" borderId="46" xfId="0" applyFont="1" applyFill="1" applyBorder="1" applyAlignment="1" applyProtection="1">
      <alignment horizontal="center" vertical="center" wrapText="1"/>
      <protection hidden="1"/>
    </xf>
    <xf numFmtId="0" fontId="12"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6" fillId="33" borderId="19" xfId="570" applyNumberFormat="1" applyFont="1" applyFill="1" applyBorder="1" applyAlignment="1">
      <alignment horizontal="center" vertical="top" wrapText="1"/>
    </xf>
    <xf numFmtId="168" fontId="26" fillId="33" borderId="19" xfId="570" applyNumberFormat="1" applyFont="1" applyFill="1" applyBorder="1" applyAlignment="1">
      <alignment horizontal="center" vertical="top" wrapText="1"/>
    </xf>
    <xf numFmtId="0" fontId="81" fillId="36" borderId="19" xfId="0" applyFont="1" applyFill="1" applyBorder="1" applyAlignment="1" applyProtection="1">
      <alignment horizontal="left" vertical="center" wrapText="1"/>
      <protection hidden="1"/>
    </xf>
    <xf numFmtId="0" fontId="26" fillId="33" borderId="18" xfId="570" applyFont="1" applyFill="1" applyBorder="1" applyAlignment="1">
      <alignment vertical="center" wrapText="1"/>
    </xf>
    <xf numFmtId="0" fontId="26" fillId="33" borderId="48" xfId="570" applyFont="1" applyFill="1" applyBorder="1" applyAlignment="1">
      <alignment vertical="top" wrapText="1"/>
    </xf>
    <xf numFmtId="0" fontId="26" fillId="33" borderId="49" xfId="570" applyFont="1" applyFill="1" applyBorder="1" applyAlignment="1">
      <alignment vertical="top" wrapText="1"/>
    </xf>
    <xf numFmtId="0" fontId="7" fillId="0" borderId="11" xfId="0" applyFont="1" applyBorder="1" applyAlignment="1">
      <alignment wrapText="1"/>
    </xf>
    <xf numFmtId="0" fontId="26" fillId="33" borderId="18" xfId="570" applyFont="1" applyFill="1" applyBorder="1" applyAlignment="1">
      <alignment horizontal="left" vertical="top" wrapText="1"/>
    </xf>
    <xf numFmtId="0" fontId="7" fillId="0" borderId="18" xfId="0" applyFont="1" applyBorder="1" applyAlignment="1">
      <alignment vertical="top" wrapText="1"/>
    </xf>
    <xf numFmtId="0" fontId="26" fillId="33" borderId="19" xfId="570" applyFont="1" applyFill="1" applyBorder="1" applyAlignment="1">
      <alignment vertical="top" wrapText="1"/>
    </xf>
    <xf numFmtId="0" fontId="48" fillId="33" borderId="50" xfId="0" applyFont="1" applyFill="1" applyBorder="1" applyAlignment="1" applyProtection="1">
      <alignment horizontal="center" vertical="center" wrapText="1"/>
      <protection hidden="1"/>
    </xf>
    <xf numFmtId="0" fontId="48" fillId="0" borderId="51" xfId="0" applyFont="1" applyBorder="1" applyAlignment="1" applyProtection="1">
      <alignment horizontal="center" vertical="center" wrapText="1"/>
      <protection hidden="1"/>
    </xf>
    <xf numFmtId="0" fontId="36" fillId="0" borderId="52" xfId="0" applyFont="1" applyBorder="1" applyAlignment="1" applyProtection="1">
      <alignment vertical="center" wrapText="1"/>
      <protection hidden="1"/>
    </xf>
    <xf numFmtId="0" fontId="54"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10" fillId="33" borderId="0" xfId="0" applyNumberFormat="1" applyFont="1" applyFill="1"/>
    <xf numFmtId="168" fontId="15" fillId="33" borderId="0" xfId="0" applyNumberFormat="1" applyFont="1" applyFill="1" applyAlignment="1">
      <alignment horizontal="center" vertical="center" wrapText="1"/>
    </xf>
    <xf numFmtId="168" fontId="12" fillId="33" borderId="0" xfId="0" applyNumberFormat="1" applyFont="1" applyFill="1" applyAlignment="1">
      <alignment horizontal="center" vertical="center"/>
    </xf>
    <xf numFmtId="168" fontId="28"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3" fillId="0" borderId="52" xfId="0" applyFont="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10"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2" fillId="33" borderId="28" xfId="0" applyFont="1" applyFill="1" applyBorder="1" applyAlignment="1" applyProtection="1">
      <alignment vertical="center" wrapText="1"/>
      <protection hidden="1"/>
    </xf>
    <xf numFmtId="0" fontId="12" fillId="33" borderId="53" xfId="0" applyFont="1" applyFill="1" applyBorder="1" applyAlignment="1" applyProtection="1">
      <alignment vertical="center" wrapText="1"/>
      <protection hidden="1"/>
    </xf>
    <xf numFmtId="0" fontId="45" fillId="33" borderId="0" xfId="487" applyFont="1" applyFill="1" applyBorder="1" applyAlignment="1" applyProtection="1">
      <alignment horizontal="center" vertical="center" wrapText="1"/>
      <protection hidden="1"/>
    </xf>
    <xf numFmtId="0" fontId="12" fillId="33" borderId="54" xfId="0" applyFont="1" applyFill="1" applyBorder="1" applyAlignment="1" applyProtection="1">
      <alignment vertical="center" wrapText="1"/>
      <protection hidden="1"/>
    </xf>
    <xf numFmtId="0" fontId="12" fillId="33" borderId="0" xfId="0" applyFont="1" applyFill="1" applyAlignment="1" applyProtection="1">
      <alignment vertical="center" wrapText="1"/>
      <protection hidden="1"/>
    </xf>
    <xf numFmtId="0" fontId="47" fillId="33" borderId="0" xfId="0" applyFont="1" applyFill="1" applyAlignment="1" applyProtection="1">
      <alignment horizontal="center" vertical="center" wrapText="1"/>
      <protection hidden="1"/>
    </xf>
    <xf numFmtId="0" fontId="15" fillId="33" borderId="54" xfId="0" applyFont="1" applyFill="1" applyBorder="1" applyAlignment="1" applyProtection="1">
      <alignment horizontal="center" vertical="center" wrapText="1"/>
      <protection hidden="1"/>
    </xf>
    <xf numFmtId="0" fontId="12" fillId="0" borderId="0" xfId="0" applyFont="1" applyAlignment="1" applyProtection="1">
      <alignment horizontal="center" vertical="center" wrapText="1"/>
      <protection hidden="1"/>
    </xf>
    <xf numFmtId="0" fontId="29" fillId="0" borderId="0" xfId="0" applyFont="1" applyAlignment="1" applyProtection="1">
      <alignment vertical="center" wrapText="1"/>
      <protection locked="0"/>
    </xf>
    <xf numFmtId="170" fontId="26" fillId="33" borderId="19" xfId="570" applyNumberFormat="1" applyFont="1" applyFill="1" applyBorder="1" applyAlignment="1">
      <alignment horizontal="center" vertical="top" wrapText="1"/>
    </xf>
    <xf numFmtId="0" fontId="6" fillId="0" borderId="35" xfId="0" applyFont="1" applyBorder="1" applyAlignment="1" applyProtection="1">
      <alignment vertical="top" wrapText="1"/>
      <protection hidden="1"/>
    </xf>
    <xf numFmtId="9" fontId="82"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4" fillId="0" borderId="0" xfId="0" applyFont="1" applyAlignment="1" applyProtection="1">
      <alignment vertical="top" wrapText="1"/>
      <protection hidden="1"/>
    </xf>
    <xf numFmtId="0" fontId="52" fillId="0" borderId="0" xfId="0" applyFont="1" applyAlignment="1">
      <alignment vertical="top" wrapText="1"/>
    </xf>
    <xf numFmtId="49" fontId="0" fillId="0" borderId="0" xfId="0" applyNumberFormat="1"/>
    <xf numFmtId="0" fontId="50" fillId="0" borderId="0" xfId="0" applyFont="1" applyAlignment="1">
      <alignment vertical="top" wrapText="1"/>
    </xf>
    <xf numFmtId="9" fontId="50" fillId="0" borderId="0" xfId="0" applyNumberFormat="1" applyFont="1" applyAlignment="1">
      <alignment horizontal="left" vertical="top" wrapText="1"/>
    </xf>
    <xf numFmtId="9" fontId="0" fillId="0" borderId="0" xfId="0" applyNumberFormat="1" applyAlignment="1">
      <alignment horizontal="left" vertical="top" wrapText="1"/>
    </xf>
    <xf numFmtId="0" fontId="54" fillId="36" borderId="19" xfId="0" applyFont="1" applyFill="1" applyBorder="1" applyAlignment="1">
      <alignment vertical="center" wrapText="1"/>
    </xf>
    <xf numFmtId="0" fontId="54"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5" fillId="33" borderId="0" xfId="0" applyFont="1" applyFill="1" applyAlignment="1" applyProtection="1">
      <alignment horizontal="center" vertical="center" wrapText="1"/>
      <protection hidden="1"/>
    </xf>
    <xf numFmtId="0" fontId="16" fillId="33" borderId="10" xfId="0" applyFont="1" applyFill="1" applyBorder="1" applyAlignment="1">
      <alignment vertical="center" wrapText="1"/>
    </xf>
    <xf numFmtId="0" fontId="15" fillId="33" borderId="38" xfId="0" applyFont="1" applyFill="1" applyBorder="1" applyAlignment="1">
      <alignment wrapText="1"/>
    </xf>
    <xf numFmtId="0" fontId="43"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2"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3"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6" fillId="0" borderId="0" xfId="0" applyFont="1" applyAlignment="1">
      <alignment vertical="top" wrapText="1"/>
    </xf>
    <xf numFmtId="0" fontId="0" fillId="36" borderId="19" xfId="0" applyFill="1" applyBorder="1" applyAlignment="1">
      <alignment vertical="center" wrapText="1"/>
    </xf>
    <xf numFmtId="0" fontId="50" fillId="0" borderId="0" xfId="502" applyFont="1" applyAlignment="1">
      <alignment horizontal="left" vertical="top" wrapText="1"/>
    </xf>
    <xf numFmtId="0" fontId="27" fillId="36" borderId="19" xfId="0" applyFont="1" applyFill="1" applyBorder="1" applyAlignment="1">
      <alignment vertical="center" wrapText="1"/>
    </xf>
    <xf numFmtId="0" fontId="16" fillId="33" borderId="22" xfId="0" applyFont="1" applyFill="1" applyBorder="1" applyAlignment="1" applyProtection="1">
      <alignment horizontal="left" vertical="center" wrapText="1"/>
      <protection hidden="1"/>
    </xf>
    <xf numFmtId="0" fontId="88" fillId="0" borderId="35" xfId="0" applyFont="1" applyBorder="1" applyAlignment="1" applyProtection="1">
      <alignment vertical="center" wrapText="1"/>
      <protection hidden="1"/>
    </xf>
    <xf numFmtId="168" fontId="54" fillId="0" borderId="0" xfId="480" applyFont="1" applyAlignment="1">
      <alignment horizontal="left" vertical="top" wrapText="1"/>
    </xf>
    <xf numFmtId="168" fontId="50" fillId="0" borderId="0" xfId="480" applyFont="1" applyAlignment="1">
      <alignment vertical="top" wrapText="1"/>
    </xf>
    <xf numFmtId="0" fontId="82" fillId="0" borderId="0" xfId="502" applyFont="1" applyAlignment="1">
      <alignment horizontal="left" vertical="top" wrapText="1"/>
    </xf>
    <xf numFmtId="0" fontId="50" fillId="0" borderId="0" xfId="0" applyFont="1" applyAlignment="1">
      <alignment horizontal="left" vertical="top" wrapText="1"/>
    </xf>
    <xf numFmtId="0" fontId="50" fillId="0" borderId="0" xfId="569" applyFont="1" applyAlignment="1">
      <alignment vertical="top" wrapText="1"/>
    </xf>
    <xf numFmtId="168" fontId="54" fillId="0" borderId="0" xfId="480" applyFont="1" applyAlignment="1">
      <alignment vertical="top" wrapText="1"/>
    </xf>
    <xf numFmtId="9" fontId="91" fillId="0" borderId="0" xfId="480" applyNumberFormat="1" applyFont="1" applyAlignment="1">
      <alignment horizontal="left" vertical="top" wrapText="1"/>
    </xf>
    <xf numFmtId="0" fontId="82" fillId="0" borderId="0" xfId="502" applyFont="1" applyAlignment="1">
      <alignment horizontal="justify" vertical="top"/>
    </xf>
    <xf numFmtId="0" fontId="50" fillId="0" borderId="0" xfId="502" applyFont="1" applyAlignment="1">
      <alignment horizontal="justify" vertical="top"/>
    </xf>
    <xf numFmtId="0" fontId="50" fillId="0" borderId="0" xfId="0" applyFont="1" applyAlignment="1">
      <alignment horizontal="left" vertical="top"/>
    </xf>
    <xf numFmtId="0" fontId="91" fillId="0" borderId="0" xfId="502" applyFont="1" applyAlignment="1">
      <alignment horizontal="justify" vertical="top"/>
    </xf>
    <xf numFmtId="0" fontId="55" fillId="0" borderId="0" xfId="502" applyFont="1" applyAlignment="1">
      <alignment horizontal="left" vertical="top" wrapText="1"/>
    </xf>
    <xf numFmtId="0" fontId="91" fillId="0" borderId="0" xfId="502" applyFont="1" applyAlignment="1">
      <alignment horizontal="left" vertical="top" wrapText="1"/>
    </xf>
    <xf numFmtId="0" fontId="92" fillId="0" borderId="0" xfId="502" applyFont="1" applyAlignment="1">
      <alignment vertical="top" wrapText="1"/>
    </xf>
    <xf numFmtId="0" fontId="82" fillId="0" borderId="0" xfId="502" applyFont="1" applyAlignment="1">
      <alignment vertical="top" wrapText="1"/>
    </xf>
    <xf numFmtId="0" fontId="93" fillId="0" borderId="0" xfId="0" applyFont="1"/>
    <xf numFmtId="168" fontId="54" fillId="0" borderId="0" xfId="480" applyFont="1" applyAlignment="1" applyProtection="1">
      <alignment horizontal="left" vertical="top" wrapText="1"/>
      <protection hidden="1"/>
    </xf>
    <xf numFmtId="0" fontId="94"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4" fillId="36" borderId="19" xfId="0" applyFont="1" applyFill="1" applyBorder="1" applyAlignment="1">
      <alignment vertical="top" wrapText="1"/>
    </xf>
    <xf numFmtId="0" fontId="54" fillId="36" borderId="19" xfId="502" applyFont="1" applyFill="1" applyBorder="1" applyAlignment="1">
      <alignment vertical="top" wrapText="1"/>
    </xf>
    <xf numFmtId="0" fontId="9" fillId="0" borderId="19" xfId="487" applyFill="1" applyBorder="1" applyAlignment="1">
      <alignment vertical="center"/>
      <protection locked="0"/>
    </xf>
    <xf numFmtId="0" fontId="9" fillId="0" borderId="19" xfId="487" applyBorder="1" applyAlignment="1">
      <alignment vertical="center"/>
      <protection locked="0"/>
    </xf>
    <xf numFmtId="0" fontId="2" fillId="0" borderId="0" xfId="592" applyAlignment="1">
      <alignment vertical="top" wrapText="1"/>
    </xf>
    <xf numFmtId="0" fontId="54" fillId="0" borderId="0" xfId="502" applyFont="1" applyAlignment="1">
      <alignment horizontal="left" vertical="top" wrapText="1"/>
    </xf>
    <xf numFmtId="0" fontId="54" fillId="0" borderId="0" xfId="502" applyFont="1" applyAlignment="1">
      <alignment horizontal="justify" vertical="top"/>
    </xf>
    <xf numFmtId="0" fontId="54" fillId="0" borderId="0" xfId="506" applyFont="1" applyAlignment="1">
      <alignment horizontal="left" vertical="top" wrapText="1"/>
    </xf>
    <xf numFmtId="0" fontId="15"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0" fillId="0" borderId="0" xfId="507" applyFont="1" applyAlignment="1">
      <alignment horizontal="left" vertical="top" wrapText="1"/>
    </xf>
    <xf numFmtId="0" fontId="50" fillId="0" borderId="0" xfId="507" applyFont="1" applyAlignment="1">
      <alignment horizontal="left" vertical="top" wrapText="1"/>
    </xf>
    <xf numFmtId="0" fontId="87" fillId="0" borderId="0" xfId="0" applyFont="1" applyAlignment="1">
      <alignment vertical="top" wrapText="1"/>
    </xf>
    <xf numFmtId="0" fontId="51"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6" fillId="33" borderId="37" xfId="0" applyNumberFormat="1" applyFont="1" applyFill="1" applyBorder="1" applyAlignment="1" applyProtection="1">
      <alignment horizontal="left" vertical="center" wrapText="1"/>
      <protection locked="0"/>
    </xf>
    <xf numFmtId="168" fontId="26" fillId="0" borderId="19" xfId="570" applyNumberFormat="1" applyFont="1" applyBorder="1" applyAlignment="1">
      <alignment horizontal="center" vertical="top" wrapText="1"/>
    </xf>
    <xf numFmtId="0" fontId="12"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2" fillId="33" borderId="17" xfId="0" applyFont="1" applyFill="1" applyBorder="1" applyAlignment="1" applyProtection="1">
      <alignment vertical="center" wrapText="1"/>
      <protection locked="0"/>
    </xf>
    <xf numFmtId="49" fontId="0" fillId="0" borderId="0" xfId="0" applyNumberFormat="1" applyProtection="1">
      <protection locked="0"/>
    </xf>
    <xf numFmtId="0" fontId="37"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49" fontId="89" fillId="0" borderId="19" xfId="868" applyNumberFormat="1" applyBorder="1" applyProtection="1">
      <protection locked="0"/>
    </xf>
    <xf numFmtId="0" fontId="89" fillId="0" borderId="48" xfId="868" applyBorder="1" applyAlignment="1" applyProtection="1">
      <alignment horizontal="left" vertical="center" wrapText="1"/>
      <protection locked="0" hidden="1"/>
    </xf>
    <xf numFmtId="0" fontId="89" fillId="0" borderId="19" xfId="868" applyBorder="1" applyAlignment="1" applyProtection="1">
      <alignment vertical="center" wrapText="1"/>
      <protection locked="0" hidden="1"/>
    </xf>
    <xf numFmtId="0" fontId="89" fillId="0" borderId="48" xfId="868" applyBorder="1" applyAlignment="1" applyProtection="1">
      <alignment horizontal="left" vertical="center" wrapText="1"/>
      <protection locked="0"/>
    </xf>
    <xf numFmtId="0" fontId="89" fillId="33" borderId="53" xfId="868" applyFill="1" applyBorder="1" applyAlignment="1" applyProtection="1">
      <alignment horizontal="left" vertical="center" wrapText="1"/>
      <protection locked="0" hidden="1"/>
    </xf>
    <xf numFmtId="0" fontId="89" fillId="33" borderId="42" xfId="868" applyFill="1" applyBorder="1" applyAlignment="1" applyProtection="1">
      <alignment horizontal="left" vertical="center" wrapText="1"/>
      <protection locked="0" hidden="1"/>
    </xf>
    <xf numFmtId="0" fontId="89" fillId="33" borderId="19" xfId="868" applyFill="1" applyBorder="1" applyAlignment="1" applyProtection="1">
      <alignment horizontal="left" vertical="center" wrapText="1"/>
      <protection locked="0"/>
    </xf>
    <xf numFmtId="0" fontId="89" fillId="0" borderId="19" xfId="868" applyBorder="1" applyAlignment="1" applyProtection="1">
      <alignment horizontal="left" vertical="center" wrapText="1"/>
      <protection locked="0" hidden="1"/>
    </xf>
    <xf numFmtId="0" fontId="89" fillId="33" borderId="48" xfId="868" applyFill="1" applyBorder="1" applyAlignment="1" applyProtection="1">
      <alignment horizontal="left" vertical="center" wrapText="1"/>
      <protection locked="0"/>
    </xf>
    <xf numFmtId="0" fontId="89" fillId="33" borderId="0" xfId="868" applyFill="1" applyAlignment="1" applyProtection="1">
      <alignment horizontal="left" vertical="center" wrapText="1"/>
      <protection locked="0"/>
    </xf>
    <xf numFmtId="168" fontId="26" fillId="0" borderId="48" xfId="570" applyNumberFormat="1" applyFont="1" applyBorder="1" applyAlignment="1">
      <alignment horizontal="center" vertical="top" wrapText="1"/>
    </xf>
    <xf numFmtId="168" fontId="26" fillId="0" borderId="49" xfId="570" applyNumberFormat="1" applyFont="1" applyBorder="1" applyAlignment="1">
      <alignment horizontal="center" vertical="top" wrapText="1"/>
    </xf>
    <xf numFmtId="168" fontId="26" fillId="0" borderId="11" xfId="570" applyNumberFormat="1" applyFont="1" applyBorder="1" applyAlignment="1">
      <alignment horizontal="center" vertical="top" wrapText="1"/>
    </xf>
    <xf numFmtId="0" fontId="26" fillId="33" borderId="48" xfId="570" applyFont="1" applyFill="1" applyBorder="1" applyAlignment="1">
      <alignment horizontal="left" vertical="top" wrapText="1"/>
    </xf>
    <xf numFmtId="0" fontId="26" fillId="33" borderId="49" xfId="570" applyFont="1" applyFill="1" applyBorder="1" applyAlignment="1">
      <alignment horizontal="left" vertical="top" wrapText="1"/>
    </xf>
    <xf numFmtId="0" fontId="26" fillId="33" borderId="11" xfId="570" applyFont="1" applyFill="1" applyBorder="1" applyAlignment="1">
      <alignment horizontal="left" vertical="top" wrapText="1"/>
    </xf>
    <xf numFmtId="0" fontId="13" fillId="33" borderId="15" xfId="0" applyFont="1" applyFill="1" applyBorder="1" applyAlignment="1">
      <alignment horizontal="center" vertical="center" wrapText="1"/>
    </xf>
    <xf numFmtId="0" fontId="13" fillId="33" borderId="32" xfId="0" applyFont="1" applyFill="1" applyBorder="1" applyAlignment="1">
      <alignment horizontal="center" vertical="center" wrapText="1"/>
    </xf>
    <xf numFmtId="0" fontId="7" fillId="33" borderId="45" xfId="0" applyFont="1" applyFill="1" applyBorder="1" applyAlignment="1">
      <alignment horizontal="center"/>
    </xf>
    <xf numFmtId="0" fontId="10" fillId="33" borderId="0" xfId="0" applyFont="1" applyFill="1" applyAlignment="1">
      <alignment horizontal="center"/>
    </xf>
    <xf numFmtId="0" fontId="27" fillId="33" borderId="0" xfId="0" applyFont="1" applyFill="1" applyAlignment="1">
      <alignment horizontal="center" vertical="center" wrapText="1"/>
    </xf>
    <xf numFmtId="0" fontId="27" fillId="33" borderId="57" xfId="0" applyFont="1" applyFill="1" applyBorder="1" applyAlignment="1">
      <alignment horizontal="center" vertical="center" wrapText="1"/>
    </xf>
    <xf numFmtId="0" fontId="26" fillId="33" borderId="48" xfId="570" applyFont="1" applyFill="1" applyBorder="1" applyAlignment="1">
      <alignment horizontal="center" vertical="top" wrapText="1"/>
    </xf>
    <xf numFmtId="0" fontId="26" fillId="33" borderId="49" xfId="570" applyFont="1" applyFill="1" applyBorder="1" applyAlignment="1">
      <alignment horizontal="center" vertical="top" wrapText="1"/>
    </xf>
    <xf numFmtId="0" fontId="26" fillId="33" borderId="11" xfId="570" applyFont="1" applyFill="1" applyBorder="1" applyAlignment="1">
      <alignment horizontal="center" vertical="top" wrapText="1"/>
    </xf>
    <xf numFmtId="168" fontId="26" fillId="33" borderId="48" xfId="570" applyNumberFormat="1" applyFont="1" applyFill="1" applyBorder="1" applyAlignment="1">
      <alignment horizontal="center" vertical="top" wrapText="1"/>
    </xf>
    <xf numFmtId="168" fontId="26" fillId="33" borderId="49" xfId="570" applyNumberFormat="1" applyFont="1" applyFill="1" applyBorder="1" applyAlignment="1">
      <alignment horizontal="center" vertical="top" wrapText="1"/>
    </xf>
    <xf numFmtId="168" fontId="26" fillId="33" borderId="11" xfId="570" applyNumberFormat="1" applyFont="1" applyFill="1" applyBorder="1" applyAlignment="1">
      <alignment horizontal="center" vertical="top" wrapText="1"/>
    </xf>
    <xf numFmtId="2" fontId="26" fillId="33" borderId="48" xfId="570" applyNumberFormat="1" applyFont="1" applyFill="1" applyBorder="1" applyAlignment="1">
      <alignment horizontal="center" vertical="top" wrapText="1"/>
    </xf>
    <xf numFmtId="2" fontId="26" fillId="33" borderId="49" xfId="570" applyNumberFormat="1" applyFont="1" applyFill="1" applyBorder="1" applyAlignment="1">
      <alignment horizontal="center" vertical="top" wrapText="1"/>
    </xf>
    <xf numFmtId="2" fontId="26" fillId="33" borderId="11" xfId="570" applyNumberFormat="1" applyFont="1" applyFill="1" applyBorder="1" applyAlignment="1">
      <alignment horizontal="center" vertical="top" wrapText="1"/>
    </xf>
    <xf numFmtId="0" fontId="26" fillId="0" borderId="48" xfId="570" applyFont="1" applyBorder="1" applyAlignment="1">
      <alignment horizontal="center" vertical="top" wrapText="1"/>
    </xf>
    <xf numFmtId="0" fontId="26" fillId="0" borderId="49" xfId="570" applyFont="1" applyBorder="1" applyAlignment="1">
      <alignment horizontal="center" vertical="top" wrapText="1"/>
    </xf>
    <xf numFmtId="0" fontId="26"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2" fillId="33" borderId="58" xfId="0" applyFont="1" applyFill="1" applyBorder="1" applyAlignment="1" applyProtection="1">
      <alignment horizontal="left" vertical="center" wrapText="1"/>
      <protection locked="0"/>
    </xf>
    <xf numFmtId="0" fontId="12" fillId="33" borderId="10" xfId="0" applyFont="1" applyFill="1" applyBorder="1" applyAlignment="1" applyProtection="1">
      <alignment horizontal="left" vertical="center" wrapText="1"/>
      <protection locked="0"/>
    </xf>
    <xf numFmtId="0" fontId="12" fillId="33" borderId="37" xfId="0" applyFont="1" applyFill="1" applyBorder="1" applyAlignment="1" applyProtection="1">
      <alignment horizontal="left" vertical="center" wrapText="1"/>
      <protection locked="0"/>
    </xf>
    <xf numFmtId="0" fontId="16" fillId="33" borderId="58" xfId="0" applyFont="1" applyFill="1" applyBorder="1" applyAlignment="1" applyProtection="1">
      <alignment horizontal="left" vertical="center"/>
      <protection locked="0"/>
    </xf>
    <xf numFmtId="0" fontId="16" fillId="33" borderId="37" xfId="0" applyFont="1" applyFill="1" applyBorder="1" applyAlignment="1" applyProtection="1">
      <alignment horizontal="left" vertical="center"/>
      <protection locked="0"/>
    </xf>
    <xf numFmtId="0" fontId="10" fillId="33" borderId="27" xfId="0" applyFont="1" applyFill="1" applyBorder="1" applyAlignment="1" applyProtection="1">
      <alignment horizontal="center" wrapText="1"/>
      <protection hidden="1"/>
    </xf>
    <xf numFmtId="0" fontId="15" fillId="33" borderId="10" xfId="0" applyFont="1" applyFill="1" applyBorder="1" applyAlignment="1" applyProtection="1">
      <alignment horizontal="left" wrapText="1"/>
      <protection hidden="1"/>
    </xf>
    <xf numFmtId="0" fontId="16" fillId="33" borderId="10" xfId="0" applyFont="1" applyFill="1" applyBorder="1" applyAlignment="1">
      <alignment horizontal="center" vertical="center"/>
    </xf>
    <xf numFmtId="0" fontId="18" fillId="33" borderId="32" xfId="0" applyFont="1" applyFill="1" applyBorder="1" applyAlignment="1" applyProtection="1">
      <alignment horizontal="center" vertical="center"/>
      <protection hidden="1"/>
    </xf>
    <xf numFmtId="0" fontId="18" fillId="33" borderId="45" xfId="0" applyFont="1" applyFill="1" applyBorder="1" applyAlignment="1" applyProtection="1">
      <alignment horizontal="center" vertical="center"/>
      <protection hidden="1"/>
    </xf>
    <xf numFmtId="0" fontId="25" fillId="0" borderId="0" xfId="487" applyFont="1" applyFill="1" applyBorder="1" applyAlignment="1" applyProtection="1">
      <alignment horizontal="center" vertical="center" wrapText="1"/>
      <protection hidden="1"/>
    </xf>
    <xf numFmtId="0" fontId="16" fillId="33" borderId="58" xfId="0" applyFont="1" applyFill="1" applyBorder="1" applyAlignment="1" applyProtection="1">
      <alignment horizontal="left" vertical="center" wrapText="1"/>
      <protection locked="0"/>
    </xf>
    <xf numFmtId="0" fontId="16" fillId="33" borderId="37" xfId="0" applyFont="1" applyFill="1" applyBorder="1" applyAlignment="1" applyProtection="1">
      <alignment horizontal="left" vertical="center" wrapText="1"/>
      <protection locked="0"/>
    </xf>
    <xf numFmtId="0" fontId="12" fillId="33" borderId="10" xfId="0" applyFont="1" applyFill="1" applyBorder="1" applyAlignment="1">
      <alignment horizontal="left" vertical="center" wrapText="1"/>
    </xf>
    <xf numFmtId="9" fontId="16" fillId="33" borderId="58"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15" fillId="33" borderId="27" xfId="0" applyFont="1" applyFill="1" applyBorder="1" applyAlignment="1" applyProtection="1">
      <alignment horizontal="left" wrapText="1"/>
      <protection hidden="1"/>
    </xf>
    <xf numFmtId="0" fontId="16" fillId="0" borderId="58" xfId="0" applyFont="1" applyBorder="1" applyAlignment="1" applyProtection="1">
      <alignment horizontal="left" vertical="center"/>
      <protection locked="0"/>
    </xf>
    <xf numFmtId="0" fontId="16" fillId="0" borderId="37" xfId="0" applyFont="1" applyBorder="1" applyAlignment="1" applyProtection="1">
      <alignment horizontal="left" vertical="center"/>
      <protection locked="0"/>
    </xf>
    <xf numFmtId="0" fontId="24" fillId="0" borderId="27" xfId="487" applyFont="1" applyFill="1" applyBorder="1" applyAlignment="1" applyProtection="1">
      <alignment horizontal="center"/>
      <protection hidden="1"/>
    </xf>
    <xf numFmtId="0" fontId="22" fillId="0" borderId="27" xfId="487" applyFont="1" applyFill="1" applyBorder="1" applyAlignment="1" applyProtection="1">
      <alignment horizontal="center" wrapText="1"/>
      <protection hidden="1"/>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4" fillId="33" borderId="58" xfId="0" applyFont="1" applyFill="1" applyBorder="1" applyAlignment="1" applyProtection="1">
      <alignment horizontal="center" vertical="center"/>
      <protection hidden="1"/>
    </xf>
    <xf numFmtId="0" fontId="14" fillId="33" borderId="10" xfId="0" applyFont="1" applyFill="1" applyBorder="1" applyAlignment="1" applyProtection="1">
      <alignment horizontal="center" vertical="center"/>
      <protection hidden="1"/>
    </xf>
    <xf numFmtId="0" fontId="14" fillId="33" borderId="37" xfId="0" applyFont="1" applyFill="1" applyBorder="1" applyAlignment="1" applyProtection="1">
      <alignment horizontal="center" vertical="center"/>
      <protection hidden="1"/>
    </xf>
    <xf numFmtId="0" fontId="15" fillId="33" borderId="0" xfId="0" applyFont="1" applyFill="1" applyAlignment="1" applyProtection="1">
      <alignment horizontal="center" vertical="center" wrapText="1"/>
      <protection hidden="1"/>
    </xf>
    <xf numFmtId="0" fontId="16" fillId="33" borderId="60"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49" fontId="16" fillId="33" borderId="58"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0" fontId="25" fillId="0" borderId="28" xfId="487" applyFont="1" applyFill="1" applyBorder="1" applyAlignment="1" applyProtection="1">
      <alignment horizontal="center" vertical="center" wrapText="1"/>
      <protection hidden="1"/>
    </xf>
    <xf numFmtId="0" fontId="25" fillId="33" borderId="0" xfId="487" applyFont="1" applyFill="1" applyBorder="1" applyAlignment="1">
      <alignment horizontal="center"/>
      <protection locked="0"/>
    </xf>
    <xf numFmtId="0" fontId="15" fillId="33" borderId="27" xfId="0" applyFont="1" applyFill="1" applyBorder="1" applyAlignment="1" applyProtection="1">
      <alignment horizontal="center" vertical="top" wrapText="1"/>
      <protection hidden="1"/>
    </xf>
    <xf numFmtId="0" fontId="15" fillId="33" borderId="42" xfId="0" applyFont="1" applyFill="1" applyBorder="1" applyAlignment="1" applyProtection="1">
      <alignment horizontal="right" vertical="center"/>
      <protection hidden="1"/>
    </xf>
    <xf numFmtId="0" fontId="15" fillId="33" borderId="29" xfId="0" applyFont="1" applyFill="1" applyBorder="1" applyAlignment="1" applyProtection="1">
      <alignment horizontal="right" vertical="center"/>
      <protection hidden="1"/>
    </xf>
    <xf numFmtId="0" fontId="84" fillId="0" borderId="34" xfId="487" applyFont="1" applyFill="1" applyBorder="1" applyAlignment="1" applyProtection="1">
      <alignment horizontal="left" vertical="center" wrapText="1"/>
    </xf>
    <xf numFmtId="0" fontId="84" fillId="0" borderId="27" xfId="487" applyFont="1" applyFill="1" applyBorder="1" applyAlignment="1" applyProtection="1">
      <alignment horizontal="left" vertical="center" wrapText="1"/>
    </xf>
    <xf numFmtId="0" fontId="84" fillId="0" borderId="59" xfId="487" applyFont="1" applyFill="1" applyBorder="1" applyAlignment="1" applyProtection="1">
      <alignment horizontal="left" vertical="center" wrapText="1"/>
    </xf>
    <xf numFmtId="0" fontId="18" fillId="33" borderId="0" xfId="0" applyFont="1" applyFill="1" applyAlignment="1">
      <alignment horizontal="center" wrapText="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59" xfId="0" applyNumberFormat="1" applyFont="1" applyFill="1" applyBorder="1" applyAlignment="1" applyProtection="1">
      <alignment horizontal="left" vertical="center" wrapText="1"/>
      <protection locked="0"/>
    </xf>
    <xf numFmtId="49" fontId="85" fillId="33" borderId="58" xfId="487" applyNumberFormat="1" applyFont="1" applyFill="1" applyBorder="1" applyAlignment="1" applyProtection="1">
      <alignment horizontal="left" vertical="center" wrapText="1"/>
      <protection locked="0"/>
    </xf>
    <xf numFmtId="49" fontId="85" fillId="33" borderId="10" xfId="487" applyNumberFormat="1" applyFont="1" applyFill="1" applyBorder="1" applyAlignment="1" applyProtection="1">
      <alignment horizontal="left" vertical="center" wrapText="1"/>
      <protection locked="0"/>
    </xf>
    <xf numFmtId="49" fontId="85" fillId="33" borderId="37" xfId="487" applyNumberFormat="1" applyFont="1" applyFill="1" applyBorder="1" applyAlignment="1" applyProtection="1">
      <alignment horizontal="left" vertical="center" wrapText="1"/>
      <protection locked="0"/>
    </xf>
    <xf numFmtId="0" fontId="16" fillId="49" borderId="58" xfId="0" applyFont="1" applyFill="1" applyBorder="1" applyAlignment="1" applyProtection="1">
      <alignment horizontal="left" vertical="center" wrapText="1"/>
      <protection locked="0"/>
    </xf>
    <xf numFmtId="0" fontId="16" fillId="49" borderId="10" xfId="0" applyFont="1" applyFill="1" applyBorder="1" applyAlignment="1" applyProtection="1">
      <alignment horizontal="left" vertical="center" wrapText="1"/>
      <protection locked="0"/>
    </xf>
    <xf numFmtId="0" fontId="99" fillId="49" borderId="58" xfId="0" applyFont="1" applyFill="1" applyBorder="1" applyAlignment="1" applyProtection="1">
      <alignment horizontal="left" vertical="center" wrapText="1"/>
      <protection locked="0"/>
    </xf>
    <xf numFmtId="0" fontId="99" fillId="49" borderId="10" xfId="0" applyFont="1" applyFill="1" applyBorder="1" applyAlignment="1" applyProtection="1">
      <alignment horizontal="left" vertical="center" wrapText="1"/>
      <protection locked="0"/>
    </xf>
    <xf numFmtId="0" fontId="100" fillId="49" borderId="58" xfId="0" applyFont="1" applyFill="1" applyBorder="1" applyAlignment="1" applyProtection="1">
      <alignment horizontal="left" vertical="center" wrapText="1"/>
      <protection locked="0"/>
    </xf>
    <xf numFmtId="0" fontId="100" fillId="49" borderId="10" xfId="0" applyFont="1" applyFill="1" applyBorder="1" applyAlignment="1" applyProtection="1">
      <alignment horizontal="left" vertical="center" wrapText="1"/>
      <protection locked="0"/>
    </xf>
    <xf numFmtId="49" fontId="84" fillId="33" borderId="58" xfId="487" applyNumberFormat="1" applyFont="1" applyFill="1" applyBorder="1" applyAlignment="1" applyProtection="1">
      <alignment horizontal="left" vertical="center" wrapText="1"/>
      <protection locked="0"/>
    </xf>
    <xf numFmtId="49" fontId="85" fillId="33" borderId="10" xfId="0" applyNumberFormat="1" applyFont="1" applyFill="1" applyBorder="1" applyAlignment="1" applyProtection="1">
      <alignment horizontal="left" vertical="center" wrapText="1"/>
      <protection locked="0"/>
    </xf>
    <xf numFmtId="49" fontId="85" fillId="33" borderId="37" xfId="0" applyNumberFormat="1" applyFont="1" applyFill="1" applyBorder="1" applyAlignment="1" applyProtection="1">
      <alignment horizontal="left" vertical="center" wrapText="1"/>
      <protection locked="0"/>
    </xf>
    <xf numFmtId="49" fontId="16" fillId="0" borderId="58"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169" fontId="15" fillId="33" borderId="34" xfId="0" applyNumberFormat="1" applyFont="1" applyFill="1" applyBorder="1" applyAlignment="1" applyProtection="1">
      <alignment horizontal="center" wrapText="1"/>
      <protection locked="0"/>
    </xf>
    <xf numFmtId="169" fontId="15" fillId="33" borderId="59" xfId="0" applyNumberFormat="1" applyFont="1" applyFill="1" applyBorder="1" applyAlignment="1" applyProtection="1">
      <alignment horizontal="center" wrapText="1"/>
      <protection locked="0"/>
    </xf>
    <xf numFmtId="0" fontId="15" fillId="33" borderId="27" xfId="0" applyFont="1" applyFill="1" applyBorder="1" applyAlignment="1" applyProtection="1">
      <alignment horizontal="center" wrapText="1"/>
      <protection hidden="1"/>
    </xf>
    <xf numFmtId="0" fontId="49" fillId="33" borderId="38" xfId="487" applyFont="1" applyFill="1" applyBorder="1" applyAlignment="1" applyProtection="1">
      <alignment horizontal="center" vertical="center" wrapText="1"/>
      <protection hidden="1"/>
    </xf>
    <xf numFmtId="0" fontId="49" fillId="33" borderId="0" xfId="487" applyFont="1" applyFill="1" applyBorder="1" applyAlignment="1" applyProtection="1">
      <alignment horizontal="center" vertical="center" wrapText="1"/>
      <protection hidden="1"/>
    </xf>
    <xf numFmtId="0" fontId="97" fillId="0" borderId="57" xfId="0" applyFont="1" applyBorder="1" applyAlignment="1" applyProtection="1">
      <alignment horizontal="left" vertical="center" wrapText="1"/>
      <protection hidden="1"/>
    </xf>
    <xf numFmtId="0" fontId="12" fillId="33" borderId="27" xfId="0" applyFont="1" applyFill="1" applyBorder="1" applyAlignment="1" applyProtection="1">
      <alignment horizontal="center" vertical="center" wrapText="1"/>
      <protection hidden="1"/>
    </xf>
    <xf numFmtId="0" fontId="12"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2" fillId="33" borderId="0" xfId="487" applyFont="1" applyFill="1" applyBorder="1" applyAlignment="1">
      <alignment horizontal="center" vertical="center"/>
      <protection locked="0"/>
    </xf>
    <xf numFmtId="0" fontId="35"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7"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xf numFmtId="0" fontId="89" fillId="0" borderId="0" xfId="868" applyAlignment="1" applyProtection="1">
      <alignment horizontal="left" vertical="center" wrapText="1"/>
      <protection locked="0" hidden="1"/>
    </xf>
    <xf numFmtId="0" fontId="89" fillId="0" borderId="0" xfId="868" applyAlignment="1" applyProtection="1">
      <alignment vertical="center" wrapText="1"/>
      <protection locked="0" hidden="1"/>
    </xf>
    <xf numFmtId="0" fontId="89" fillId="0" borderId="0" xfId="868" applyAlignment="1" applyProtection="1">
      <alignment horizontal="left" vertical="center" wrapText="1"/>
      <protection locked="0"/>
    </xf>
    <xf numFmtId="0" fontId="89" fillId="33" borderId="0" xfId="868" applyFill="1" applyAlignment="1" applyProtection="1">
      <alignment horizontal="left" vertical="center" wrapText="1"/>
      <protection locked="0" hidden="1"/>
    </xf>
  </cellXfs>
  <cellStyles count="869">
    <cellStyle name="20% - Accent1 2" xfId="1" xr:uid="{00000000-0005-0000-0000-000000000000}"/>
    <cellStyle name="20% - Accent1 2 2" xfId="593" xr:uid="{491E815E-52EF-4C1C-B1BD-9C040337F75F}"/>
    <cellStyle name="20% - Accent2 2" xfId="2" xr:uid="{00000000-0005-0000-0000-000001000000}"/>
    <cellStyle name="20% - Accent2 2 2" xfId="594" xr:uid="{8CF87268-048D-4725-848F-A1B370D44FFC}"/>
    <cellStyle name="20% - Accent3 2" xfId="3" xr:uid="{00000000-0005-0000-0000-000002000000}"/>
    <cellStyle name="20% - Accent3 2 2" xfId="595" xr:uid="{87BEEAA4-9576-4588-9614-E72FFF95D424}"/>
    <cellStyle name="20% - Accent4 2" xfId="4" xr:uid="{00000000-0005-0000-0000-000003000000}"/>
    <cellStyle name="20% - Accent4 2 2" xfId="596" xr:uid="{73FD7A0D-44B6-4392-8BEE-2E531752F22C}"/>
    <cellStyle name="20% - Accent5 2" xfId="5" xr:uid="{00000000-0005-0000-0000-000004000000}"/>
    <cellStyle name="20% - Accent5 2 2" xfId="597" xr:uid="{7AFDB838-75BA-4407-98B6-DD9E22327576}"/>
    <cellStyle name="20% - Accent6 2" xfId="6" xr:uid="{00000000-0005-0000-0000-000005000000}"/>
    <cellStyle name="20% - Accent6 2 2" xfId="598" xr:uid="{F3A9E943-86AC-4127-B99F-629C3FEB9268}"/>
    <cellStyle name="40% - Accent1 2" xfId="7" xr:uid="{00000000-0005-0000-0000-000006000000}"/>
    <cellStyle name="40% - Accent1 2 2" xfId="599" xr:uid="{BAD8F8BE-FB64-4FFD-AF0B-40CD662FA8C0}"/>
    <cellStyle name="40% - Accent2 2" xfId="8" xr:uid="{00000000-0005-0000-0000-000007000000}"/>
    <cellStyle name="40% - Accent2 2 2" xfId="600" xr:uid="{D65418A0-3407-4D93-B9F6-91AF1587E313}"/>
    <cellStyle name="40% - Accent3 2" xfId="9" xr:uid="{00000000-0005-0000-0000-000008000000}"/>
    <cellStyle name="40% - Accent3 2 2" xfId="601" xr:uid="{B3144C6F-3F02-4041-A918-2FD6B4C8C9F3}"/>
    <cellStyle name="40% - Accent4 2" xfId="10" xr:uid="{00000000-0005-0000-0000-000009000000}"/>
    <cellStyle name="40% - Accent4 2 2" xfId="602" xr:uid="{8B14ED2F-CD17-4467-9A5C-2A3E43E9B4D4}"/>
    <cellStyle name="40% - Accent5 2" xfId="11" xr:uid="{00000000-0005-0000-0000-00000A000000}"/>
    <cellStyle name="40% - Accent5 2 2" xfId="603" xr:uid="{8562D918-7703-44ED-9630-4E764D236FF2}"/>
    <cellStyle name="40% - Accent6 2" xfId="12" xr:uid="{00000000-0005-0000-0000-00000B000000}"/>
    <cellStyle name="40% - Accent6 2 2" xfId="604" xr:uid="{4DD8F23F-FEAA-499E-AE43-9026BF877AB1}"/>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llegamento ipertestuale" xfId="487" builtinId="8"/>
    <cellStyle name="Comma [0] 2" xfId="29" xr:uid="{00000000-0005-0000-0000-00001C000000}"/>
    <cellStyle name="Comma [0] 2 2" xfId="605" xr:uid="{E86680AF-E9F3-4E7C-8AF9-20C9CB7A1B62}"/>
    <cellStyle name="Comma [0] 3" xfId="30" xr:uid="{00000000-0005-0000-0000-00001D000000}"/>
    <cellStyle name="Comma [0] 3 2" xfId="606" xr:uid="{95B8AB05-303F-4144-A823-F72B229CCB3B}"/>
    <cellStyle name="Comma [0] 4" xfId="31" xr:uid="{00000000-0005-0000-0000-00001E000000}"/>
    <cellStyle name="Comma 10" xfId="32" xr:uid="{00000000-0005-0000-0000-00001F000000}"/>
    <cellStyle name="Comma 10 2" xfId="607" xr:uid="{ACB60405-B553-427B-A2B4-497AF4BD772D}"/>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 2" xfId="608" xr:uid="{13398E33-4C9C-4D7A-BE55-0F27D3377AB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6 2" xfId="609" xr:uid="{D27D313F-797A-4CD5-ACBB-F8C2F6F78C32}"/>
    <cellStyle name="Comma 117" xfId="51" xr:uid="{00000000-0005-0000-0000-000032000000}"/>
    <cellStyle name="Comma 117 2" xfId="610" xr:uid="{D231351F-7CDD-44CC-9A58-5E327BAB43BC}"/>
    <cellStyle name="Comma 118" xfId="52" xr:uid="{00000000-0005-0000-0000-000033000000}"/>
    <cellStyle name="Comma 118 2" xfId="611" xr:uid="{BB925292-5359-4284-8B3E-D448B177E9F0}"/>
    <cellStyle name="Comma 119" xfId="53" xr:uid="{00000000-0005-0000-0000-000034000000}"/>
    <cellStyle name="Comma 119 2" xfId="612" xr:uid="{BD1B6F63-3649-458A-AFF5-0381521ABBD2}"/>
    <cellStyle name="Comma 12" xfId="54" xr:uid="{00000000-0005-0000-0000-000035000000}"/>
    <cellStyle name="Comma 12 2" xfId="613" xr:uid="{17545768-DCD7-4809-8A32-AF6D4A2CD9D0}"/>
    <cellStyle name="Comma 120" xfId="55" xr:uid="{00000000-0005-0000-0000-000036000000}"/>
    <cellStyle name="Comma 120 2" xfId="614" xr:uid="{831FA34B-76A1-47B4-A3A3-658DF00EEF94}"/>
    <cellStyle name="Comma 121" xfId="56" xr:uid="{00000000-0005-0000-0000-000037000000}"/>
    <cellStyle name="Comma 121 2" xfId="615" xr:uid="{0EB92BD0-3A7F-47DA-895F-BB8BF8CB3FF4}"/>
    <cellStyle name="Comma 122" xfId="57" xr:uid="{00000000-0005-0000-0000-000038000000}"/>
    <cellStyle name="Comma 122 2" xfId="616" xr:uid="{C2AD4952-93A0-44E3-95BF-31C86FEAEFB6}"/>
    <cellStyle name="Comma 123" xfId="58" xr:uid="{00000000-0005-0000-0000-000039000000}"/>
    <cellStyle name="Comma 123 2" xfId="617" xr:uid="{33903EE5-DEF4-42DC-9893-4F6EA5E54953}"/>
    <cellStyle name="Comma 124" xfId="59" xr:uid="{00000000-0005-0000-0000-00003A000000}"/>
    <cellStyle name="Comma 124 2" xfId="618" xr:uid="{A0DB0BE8-0D5F-41DA-A2D9-9729A1EC8A1D}"/>
    <cellStyle name="Comma 125" xfId="60" xr:uid="{00000000-0005-0000-0000-00003B000000}"/>
    <cellStyle name="Comma 125 2" xfId="619" xr:uid="{CA143823-EB2A-4050-85DE-506DE2A06A21}"/>
    <cellStyle name="Comma 126" xfId="61" xr:uid="{00000000-0005-0000-0000-00003C000000}"/>
    <cellStyle name="Comma 126 2" xfId="620" xr:uid="{C25F1367-7F3E-4D5E-AF4A-D7698ECAB59F}"/>
    <cellStyle name="Comma 127" xfId="62" xr:uid="{00000000-0005-0000-0000-00003D000000}"/>
    <cellStyle name="Comma 127 2" xfId="621" xr:uid="{3A60E29F-7E36-4706-B9F6-3CDF8AC7B926}"/>
    <cellStyle name="Comma 128" xfId="63" xr:uid="{00000000-0005-0000-0000-00003E000000}"/>
    <cellStyle name="Comma 128 2" xfId="622" xr:uid="{37918677-223B-4885-885F-DA1DBB54E2CD}"/>
    <cellStyle name="Comma 129" xfId="64" xr:uid="{00000000-0005-0000-0000-00003F000000}"/>
    <cellStyle name="Comma 129 2" xfId="623" xr:uid="{824B6EB2-FEB1-49E2-83E8-A7D72CAD4D25}"/>
    <cellStyle name="Comma 13" xfId="65" xr:uid="{00000000-0005-0000-0000-000040000000}"/>
    <cellStyle name="Comma 13 2" xfId="624" xr:uid="{2033379A-D3E4-4C62-A9AC-690568A5435F}"/>
    <cellStyle name="Comma 130" xfId="66" xr:uid="{00000000-0005-0000-0000-000041000000}"/>
    <cellStyle name="Comma 130 2" xfId="625" xr:uid="{D1F2373E-1EA9-42B1-B8F8-6085AE382A61}"/>
    <cellStyle name="Comma 131" xfId="67" xr:uid="{00000000-0005-0000-0000-000042000000}"/>
    <cellStyle name="Comma 131 2" xfId="626" xr:uid="{90D1E050-DF62-4521-97D0-042533BE5BAA}"/>
    <cellStyle name="Comma 132" xfId="68" xr:uid="{00000000-0005-0000-0000-000043000000}"/>
    <cellStyle name="Comma 132 2" xfId="627" xr:uid="{042708C7-68A8-4A7B-A2F4-9078A583547A}"/>
    <cellStyle name="Comma 133" xfId="69" xr:uid="{00000000-0005-0000-0000-000044000000}"/>
    <cellStyle name="Comma 133 2" xfId="628" xr:uid="{8FAA87D0-D1B3-4703-85F9-4E47BD45084A}"/>
    <cellStyle name="Comma 134" xfId="70" xr:uid="{00000000-0005-0000-0000-000045000000}"/>
    <cellStyle name="Comma 134 2" xfId="629" xr:uid="{8DE40F91-2566-4D16-B489-0202251CDBF1}"/>
    <cellStyle name="Comma 135" xfId="71" xr:uid="{00000000-0005-0000-0000-000046000000}"/>
    <cellStyle name="Comma 135 2" xfId="630" xr:uid="{3E6244BA-EC33-4DD3-858A-6C4B188ACB9A}"/>
    <cellStyle name="Comma 136" xfId="72" xr:uid="{00000000-0005-0000-0000-000047000000}"/>
    <cellStyle name="Comma 136 2" xfId="631" xr:uid="{AFB8641D-4704-4E41-98D8-DB8008321549}"/>
    <cellStyle name="Comma 137" xfId="73" xr:uid="{00000000-0005-0000-0000-000048000000}"/>
    <cellStyle name="Comma 137 2" xfId="632" xr:uid="{2B928A6D-EEDE-4C5D-8B66-E023BD0F6464}"/>
    <cellStyle name="Comma 138" xfId="74" xr:uid="{00000000-0005-0000-0000-000049000000}"/>
    <cellStyle name="Comma 138 2" xfId="633" xr:uid="{449B1878-6C84-4217-95B6-40693EE9DAC5}"/>
    <cellStyle name="Comma 139" xfId="75" xr:uid="{00000000-0005-0000-0000-00004A000000}"/>
    <cellStyle name="Comma 14" xfId="76" xr:uid="{00000000-0005-0000-0000-00004B000000}"/>
    <cellStyle name="Comma 14 2" xfId="634" xr:uid="{4C645F69-774E-4A58-9E5A-F8E68FB2D185}"/>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 2" xfId="635" xr:uid="{2BEA0BCB-3B8D-476A-9006-33C5501B6FA9}"/>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 2" xfId="636" xr:uid="{7CC206EC-E016-41BD-B79F-253151BBAF63}"/>
    <cellStyle name="Comma 160" xfId="99" xr:uid="{00000000-0005-0000-0000-000062000000}"/>
    <cellStyle name="Comma 160 2" xfId="637" xr:uid="{CFF96EEF-CB70-4FB5-B728-E03F29E30E2B}"/>
    <cellStyle name="Comma 161" xfId="100" xr:uid="{00000000-0005-0000-0000-000063000000}"/>
    <cellStyle name="Comma 161 2" xfId="638" xr:uid="{31BE382B-9D45-49E1-89D5-8261380BDDFD}"/>
    <cellStyle name="Comma 162" xfId="101" xr:uid="{00000000-0005-0000-0000-000064000000}"/>
    <cellStyle name="Comma 162 2" xfId="639" xr:uid="{325DAC52-7646-4979-9646-F3BF4739ABF2}"/>
    <cellStyle name="Comma 163" xfId="102" xr:uid="{00000000-0005-0000-0000-000065000000}"/>
    <cellStyle name="Comma 163 2" xfId="640" xr:uid="{D8579351-178B-4C83-8738-0A3D9CDA0287}"/>
    <cellStyle name="Comma 164" xfId="103" xr:uid="{00000000-0005-0000-0000-000066000000}"/>
    <cellStyle name="Comma 164 2" xfId="641" xr:uid="{168F71F8-F7E1-4391-9950-AAC4EF4517A6}"/>
    <cellStyle name="Comma 165" xfId="104" xr:uid="{00000000-0005-0000-0000-000067000000}"/>
    <cellStyle name="Comma 165 2" xfId="642" xr:uid="{7C3FEEBD-3A85-469D-8F16-9CF7AE71123C}"/>
    <cellStyle name="Comma 166" xfId="105" xr:uid="{00000000-0005-0000-0000-000068000000}"/>
    <cellStyle name="Comma 166 2" xfId="643" xr:uid="{850E7B0A-E2DE-4BA7-98F3-3D6CB86AF5B7}"/>
    <cellStyle name="Comma 167" xfId="106" xr:uid="{00000000-0005-0000-0000-000069000000}"/>
    <cellStyle name="Comma 167 2" xfId="644" xr:uid="{C2465273-ADD7-43B2-9D22-098A02A1AA11}"/>
    <cellStyle name="Comma 168" xfId="107" xr:uid="{00000000-0005-0000-0000-00006A000000}"/>
    <cellStyle name="Comma 168 2" xfId="645" xr:uid="{28E0B22C-F8A2-48E2-9E15-39255C8E98E1}"/>
    <cellStyle name="Comma 169" xfId="108" xr:uid="{00000000-0005-0000-0000-00006B000000}"/>
    <cellStyle name="Comma 169 2" xfId="646" xr:uid="{2A1D0D33-F625-441D-ACD5-21882ED86FF1}"/>
    <cellStyle name="Comma 17" xfId="109" xr:uid="{00000000-0005-0000-0000-00006C000000}"/>
    <cellStyle name="Comma 17 2" xfId="647" xr:uid="{4295D091-B3AE-410B-BF07-7606DD6414AA}"/>
    <cellStyle name="Comma 170" xfId="110" xr:uid="{00000000-0005-0000-0000-00006D000000}"/>
    <cellStyle name="Comma 170 2" xfId="648" xr:uid="{E931E1D4-DB9F-44A7-AE23-E0FB050683E1}"/>
    <cellStyle name="Comma 171" xfId="111" xr:uid="{00000000-0005-0000-0000-00006E000000}"/>
    <cellStyle name="Comma 171 2" xfId="649" xr:uid="{D2614587-4AF4-4B5C-8D23-3974D296F8F9}"/>
    <cellStyle name="Comma 172" xfId="112" xr:uid="{00000000-0005-0000-0000-00006F000000}"/>
    <cellStyle name="Comma 172 2" xfId="650" xr:uid="{33AA7C21-51E5-4FCB-8886-06F41F82535E}"/>
    <cellStyle name="Comma 173" xfId="113" xr:uid="{00000000-0005-0000-0000-000070000000}"/>
    <cellStyle name="Comma 173 2" xfId="651" xr:uid="{F611938D-CD10-4789-98DE-E57826ED3314}"/>
    <cellStyle name="Comma 174" xfId="114" xr:uid="{00000000-0005-0000-0000-000071000000}"/>
    <cellStyle name="Comma 174 2" xfId="652" xr:uid="{E3E3B1DE-C766-4B24-A09D-48E97287F8E6}"/>
    <cellStyle name="Comma 175" xfId="115" xr:uid="{00000000-0005-0000-0000-000072000000}"/>
    <cellStyle name="Comma 175 2" xfId="653" xr:uid="{5D3563FD-9A0A-4D4C-8374-358EC58058A7}"/>
    <cellStyle name="Comma 176" xfId="116" xr:uid="{00000000-0005-0000-0000-000073000000}"/>
    <cellStyle name="Comma 176 2" xfId="654" xr:uid="{2DA493C9-9484-4B3B-9C60-BC921791D24A}"/>
    <cellStyle name="Comma 177" xfId="117" xr:uid="{00000000-0005-0000-0000-000074000000}"/>
    <cellStyle name="Comma 177 2" xfId="655" xr:uid="{53A43582-8A5E-4F10-9595-8796B16DD0A7}"/>
    <cellStyle name="Comma 178" xfId="118" xr:uid="{00000000-0005-0000-0000-000075000000}"/>
    <cellStyle name="Comma 178 2" xfId="656" xr:uid="{65D58E09-9C45-4B27-A9C4-326F50C7DA02}"/>
    <cellStyle name="Comma 179" xfId="119" xr:uid="{00000000-0005-0000-0000-000076000000}"/>
    <cellStyle name="Comma 179 2" xfId="657" xr:uid="{64ED0E2D-6E89-4AFA-9526-2EC691011E62}"/>
    <cellStyle name="Comma 18" xfId="120" xr:uid="{00000000-0005-0000-0000-000077000000}"/>
    <cellStyle name="Comma 18 2" xfId="658" xr:uid="{4F24943C-F078-4489-B258-F636B877EEAC}"/>
    <cellStyle name="Comma 180" xfId="121" xr:uid="{00000000-0005-0000-0000-000078000000}"/>
    <cellStyle name="Comma 180 2" xfId="659" xr:uid="{6013D206-4612-40CC-B316-89610302FD8A}"/>
    <cellStyle name="Comma 181" xfId="122" xr:uid="{00000000-0005-0000-0000-000079000000}"/>
    <cellStyle name="Comma 181 2" xfId="660" xr:uid="{33BC17FD-4E30-4CBA-92D6-B537DA1E06CE}"/>
    <cellStyle name="Comma 182" xfId="123" xr:uid="{00000000-0005-0000-0000-00007A000000}"/>
    <cellStyle name="Comma 182 2" xfId="661" xr:uid="{215BAFF8-CF5A-4BAD-805E-5A095DB44F90}"/>
    <cellStyle name="Comma 183" xfId="124" xr:uid="{00000000-0005-0000-0000-00007B000000}"/>
    <cellStyle name="Comma 183 2" xfId="662" xr:uid="{9725FE39-C673-4567-9A57-8FAECD32B1A4}"/>
    <cellStyle name="Comma 184" xfId="125" xr:uid="{00000000-0005-0000-0000-00007C000000}"/>
    <cellStyle name="Comma 184 2" xfId="663" xr:uid="{4BD2A127-441E-4C6C-AC40-08370B62A293}"/>
    <cellStyle name="Comma 185" xfId="126" xr:uid="{00000000-0005-0000-0000-00007D000000}"/>
    <cellStyle name="Comma 185 2" xfId="664" xr:uid="{61FE8A99-977C-490F-A556-6D34EF03BD9A}"/>
    <cellStyle name="Comma 186" xfId="127" xr:uid="{00000000-0005-0000-0000-00007E000000}"/>
    <cellStyle name="Comma 186 2" xfId="665" xr:uid="{AA12C260-8571-427E-A06E-A9C436648D06}"/>
    <cellStyle name="Comma 187" xfId="128" xr:uid="{00000000-0005-0000-0000-00007F000000}"/>
    <cellStyle name="Comma 187 2" xfId="666" xr:uid="{105609B7-2393-46BB-88BB-35CAEEFEA5DB}"/>
    <cellStyle name="Comma 188" xfId="129" xr:uid="{00000000-0005-0000-0000-000080000000}"/>
    <cellStyle name="Comma 188 2" xfId="667" xr:uid="{AD4997B5-A11A-493F-8F69-35A4118E842B}"/>
    <cellStyle name="Comma 189" xfId="130" xr:uid="{00000000-0005-0000-0000-000081000000}"/>
    <cellStyle name="Comma 189 2" xfId="668" xr:uid="{F3AAA39F-EF37-426F-A77C-7E33EB473CBA}"/>
    <cellStyle name="Comma 19" xfId="131" xr:uid="{00000000-0005-0000-0000-000082000000}"/>
    <cellStyle name="Comma 19 2" xfId="669" xr:uid="{C2910C66-0DD5-49B4-AC30-B0348ACAED8D}"/>
    <cellStyle name="Comma 190" xfId="132" xr:uid="{00000000-0005-0000-0000-000083000000}"/>
    <cellStyle name="Comma 190 2" xfId="670" xr:uid="{1B97FBB3-3AC6-4BD9-ABB3-E30B4B4E84B1}"/>
    <cellStyle name="Comma 191" xfId="133" xr:uid="{00000000-0005-0000-0000-000084000000}"/>
    <cellStyle name="Comma 191 2" xfId="671" xr:uid="{14693E94-0B0A-4E9E-95BB-1AED830B7FB8}"/>
    <cellStyle name="Comma 192" xfId="134" xr:uid="{00000000-0005-0000-0000-000085000000}"/>
    <cellStyle name="Comma 192 2" xfId="672" xr:uid="{650827F0-7B09-4244-BF02-46E6FCE2BA63}"/>
    <cellStyle name="Comma 193" xfId="135" xr:uid="{00000000-0005-0000-0000-000086000000}"/>
    <cellStyle name="Comma 193 2" xfId="673" xr:uid="{7383FFAA-24A5-4A3B-BA25-A5A80C9C6B26}"/>
    <cellStyle name="Comma 194" xfId="136" xr:uid="{00000000-0005-0000-0000-000087000000}"/>
    <cellStyle name="Comma 194 2" xfId="674" xr:uid="{E1BEF60A-B138-4BDF-B373-447E5B0B93C4}"/>
    <cellStyle name="Comma 195" xfId="137" xr:uid="{00000000-0005-0000-0000-000088000000}"/>
    <cellStyle name="Comma 195 2" xfId="675" xr:uid="{4BA9F4E5-4823-4074-8437-28537C73DFF6}"/>
    <cellStyle name="Comma 196" xfId="138" xr:uid="{00000000-0005-0000-0000-000089000000}"/>
    <cellStyle name="Comma 196 2" xfId="676" xr:uid="{C628F287-E88C-4905-8D7E-EE4EC722AFCC}"/>
    <cellStyle name="Comma 197" xfId="139" xr:uid="{00000000-0005-0000-0000-00008A000000}"/>
    <cellStyle name="Comma 197 2" xfId="677" xr:uid="{AD6E6DFF-4462-4055-B349-B60293ECDABF}"/>
    <cellStyle name="Comma 198" xfId="140" xr:uid="{00000000-0005-0000-0000-00008B000000}"/>
    <cellStyle name="Comma 198 2" xfId="678" xr:uid="{6F9EBD25-22BD-4557-B41D-B71DC4AB022B}"/>
    <cellStyle name="Comma 199" xfId="141" xr:uid="{00000000-0005-0000-0000-00008C000000}"/>
    <cellStyle name="Comma 199 2" xfId="679" xr:uid="{564B51BE-D4EA-42F5-8898-4E801C9B802C}"/>
    <cellStyle name="Comma 2" xfId="142" xr:uid="{00000000-0005-0000-0000-00008D000000}"/>
    <cellStyle name="Comma 2 2" xfId="680" xr:uid="{939E7A85-4412-4072-9DFF-660F19443B73}"/>
    <cellStyle name="Comma 20" xfId="143" xr:uid="{00000000-0005-0000-0000-00008E000000}"/>
    <cellStyle name="Comma 20 2" xfId="681" xr:uid="{43046BA4-7ACD-4E30-A4D0-E8569BE87F60}"/>
    <cellStyle name="Comma 200" xfId="144" xr:uid="{00000000-0005-0000-0000-00008F000000}"/>
    <cellStyle name="Comma 200 2" xfId="682" xr:uid="{192A3B20-E75E-4AE9-85A2-627C3739FEB5}"/>
    <cellStyle name="Comma 201" xfId="145" xr:uid="{00000000-0005-0000-0000-000090000000}"/>
    <cellStyle name="Comma 201 2" xfId="683" xr:uid="{FA1EBECC-7453-42DF-87CE-13E9EAD0614D}"/>
    <cellStyle name="Comma 202" xfId="146" xr:uid="{00000000-0005-0000-0000-000091000000}"/>
    <cellStyle name="Comma 202 2" xfId="684" xr:uid="{6C1E3D07-75CC-4748-AD99-26963D53FA83}"/>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 2" xfId="685" xr:uid="{BDA23EF0-100E-4DD5-B777-A077C7355FF6}"/>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 2" xfId="686" xr:uid="{B367B791-EF90-4418-869E-CD66FB2BDD9E}"/>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3 2" xfId="687" xr:uid="{690C5765-E15A-4097-A391-3F9B3DEB087C}"/>
    <cellStyle name="Comma 24" xfId="171" xr:uid="{00000000-0005-0000-0000-0000AA000000}"/>
    <cellStyle name="Comma 24 2" xfId="688" xr:uid="{28E47E34-EE40-4F29-8777-E24EF0893B36}"/>
    <cellStyle name="Comma 25" xfId="172" xr:uid="{00000000-0005-0000-0000-0000AB000000}"/>
    <cellStyle name="Comma 25 2" xfId="689" xr:uid="{74A6436D-DAD9-4E8A-A54E-3619CECD5D6E}"/>
    <cellStyle name="Comma 26" xfId="173" xr:uid="{00000000-0005-0000-0000-0000AC000000}"/>
    <cellStyle name="Comma 26 2" xfId="690" xr:uid="{40CDF16D-3FF5-4779-AFBF-C703147B61CC}"/>
    <cellStyle name="Comma 27" xfId="174" xr:uid="{00000000-0005-0000-0000-0000AD000000}"/>
    <cellStyle name="Comma 27 2" xfId="691" xr:uid="{D2504463-0C16-4CB9-8E20-4AF650823C2F}"/>
    <cellStyle name="Comma 28" xfId="175" xr:uid="{00000000-0005-0000-0000-0000AE000000}"/>
    <cellStyle name="Comma 28 2" xfId="692" xr:uid="{CF84CF36-44E8-41E1-B016-796F0044ADCD}"/>
    <cellStyle name="Comma 29" xfId="176" xr:uid="{00000000-0005-0000-0000-0000AF000000}"/>
    <cellStyle name="Comma 29 2" xfId="693" xr:uid="{D3E7FCD5-55F6-497A-8D20-3E45A5707C85}"/>
    <cellStyle name="Comma 3" xfId="177" xr:uid="{00000000-0005-0000-0000-0000B0000000}"/>
    <cellStyle name="Comma 3 2" xfId="694" xr:uid="{56982374-2183-4EAB-A703-681737ED89C1}"/>
    <cellStyle name="Comma 30" xfId="178" xr:uid="{00000000-0005-0000-0000-0000B1000000}"/>
    <cellStyle name="Comma 30 2" xfId="695" xr:uid="{9C9481B2-78CC-4849-99FD-658FBBA04469}"/>
    <cellStyle name="Comma 31" xfId="179" xr:uid="{00000000-0005-0000-0000-0000B2000000}"/>
    <cellStyle name="Comma 31 2" xfId="696" xr:uid="{966A7728-460F-4C34-9731-FDD2E9CBE133}"/>
    <cellStyle name="Comma 32" xfId="180" xr:uid="{00000000-0005-0000-0000-0000B3000000}"/>
    <cellStyle name="Comma 32 2" xfId="697" xr:uid="{A2D2BCD8-ADA1-400B-85C9-A4338AF0BC39}"/>
    <cellStyle name="Comma 33" xfId="181" xr:uid="{00000000-0005-0000-0000-0000B4000000}"/>
    <cellStyle name="Comma 33 2" xfId="698" xr:uid="{DDFDF98B-031D-4F58-AC3E-858A18AB2C1E}"/>
    <cellStyle name="Comma 34" xfId="182" xr:uid="{00000000-0005-0000-0000-0000B5000000}"/>
    <cellStyle name="Comma 34 2" xfId="699" xr:uid="{66A03B3D-A1E3-4411-B93C-6D0BAECF7E99}"/>
    <cellStyle name="Comma 35" xfId="183" xr:uid="{00000000-0005-0000-0000-0000B6000000}"/>
    <cellStyle name="Comma 35 2" xfId="700" xr:uid="{2D265A89-6B17-486A-AE18-758776C20811}"/>
    <cellStyle name="Comma 36" xfId="184" xr:uid="{00000000-0005-0000-0000-0000B7000000}"/>
    <cellStyle name="Comma 36 2" xfId="701" xr:uid="{7AD1637F-7CF7-4C94-B4E4-530594E91A57}"/>
    <cellStyle name="Comma 37" xfId="185" xr:uid="{00000000-0005-0000-0000-0000B8000000}"/>
    <cellStyle name="Comma 37 2" xfId="702" xr:uid="{93BE0355-6A7E-4253-949B-37B0707B5B70}"/>
    <cellStyle name="Comma 38" xfId="186" xr:uid="{00000000-0005-0000-0000-0000B9000000}"/>
    <cellStyle name="Comma 38 2" xfId="703" xr:uid="{2D17499B-53BC-43A6-BBC4-0B9E090A30BB}"/>
    <cellStyle name="Comma 39" xfId="187" xr:uid="{00000000-0005-0000-0000-0000BA000000}"/>
    <cellStyle name="Comma 39 2" xfId="704" xr:uid="{7968E77A-4183-4D54-9A34-74F2A954B6A9}"/>
    <cellStyle name="Comma 4" xfId="188" xr:uid="{00000000-0005-0000-0000-0000BB000000}"/>
    <cellStyle name="Comma 4 2" xfId="705" xr:uid="{60FC43E7-3336-4F31-81A0-D22E12B8F3E2}"/>
    <cellStyle name="Comma 40" xfId="189" xr:uid="{00000000-0005-0000-0000-0000BC000000}"/>
    <cellStyle name="Comma 40 2" xfId="706" xr:uid="{EC50D795-09BC-49EC-A2E1-3270580F460B}"/>
    <cellStyle name="Comma 41" xfId="190" xr:uid="{00000000-0005-0000-0000-0000BD000000}"/>
    <cellStyle name="Comma 41 2" xfId="707" xr:uid="{0380825E-F95A-4C40-BB53-516EA36028A1}"/>
    <cellStyle name="Comma 42" xfId="191" xr:uid="{00000000-0005-0000-0000-0000BE000000}"/>
    <cellStyle name="Comma 42 2" xfId="708" xr:uid="{7FC2659B-3576-442C-990B-E885E0D6E356}"/>
    <cellStyle name="Comma 43" xfId="192" xr:uid="{00000000-0005-0000-0000-0000BF000000}"/>
    <cellStyle name="Comma 43 2" xfId="709" xr:uid="{6A3AA278-CA71-4D79-9BAE-43423519B46F}"/>
    <cellStyle name="Comma 44" xfId="193" xr:uid="{00000000-0005-0000-0000-0000C0000000}"/>
    <cellStyle name="Comma 44 2" xfId="710" xr:uid="{7C26B788-E11F-48AE-91D4-B07D906A1D75}"/>
    <cellStyle name="Comma 45" xfId="194" xr:uid="{00000000-0005-0000-0000-0000C1000000}"/>
    <cellStyle name="Comma 45 2" xfId="711" xr:uid="{EBDB25D3-4513-41E4-A1E4-9D7B48C2B607}"/>
    <cellStyle name="Comma 46" xfId="195" xr:uid="{00000000-0005-0000-0000-0000C2000000}"/>
    <cellStyle name="Comma 46 2" xfId="712" xr:uid="{F6A90104-9E63-4D41-B5F2-8EABF12A01CC}"/>
    <cellStyle name="Comma 47" xfId="196" xr:uid="{00000000-0005-0000-0000-0000C3000000}"/>
    <cellStyle name="Comma 47 2" xfId="713" xr:uid="{1E038D05-E48D-4F39-8E09-8C7D04AB1D21}"/>
    <cellStyle name="Comma 48" xfId="197" xr:uid="{00000000-0005-0000-0000-0000C4000000}"/>
    <cellStyle name="Comma 48 2" xfId="714" xr:uid="{BB03D5B1-7ADC-4EB3-8121-EA5365F4C6B8}"/>
    <cellStyle name="Comma 49" xfId="198" xr:uid="{00000000-0005-0000-0000-0000C5000000}"/>
    <cellStyle name="Comma 49 2" xfId="715" xr:uid="{8630F03F-E1E3-4CAE-A8FF-39ED39AB3362}"/>
    <cellStyle name="Comma 5" xfId="199" xr:uid="{00000000-0005-0000-0000-0000C6000000}"/>
    <cellStyle name="Comma 5 2" xfId="716" xr:uid="{89E4486D-F029-465B-94AE-0903D53AACBA}"/>
    <cellStyle name="Comma 50" xfId="200" xr:uid="{00000000-0005-0000-0000-0000C7000000}"/>
    <cellStyle name="Comma 50 2" xfId="717" xr:uid="{BC66859C-01B9-4D9E-B807-1198E2BEA790}"/>
    <cellStyle name="Comma 51" xfId="201" xr:uid="{00000000-0005-0000-0000-0000C8000000}"/>
    <cellStyle name="Comma 51 2" xfId="718" xr:uid="{6C072BAA-6DB2-4BA3-AE84-64A5C99D8331}"/>
    <cellStyle name="Comma 52" xfId="202" xr:uid="{00000000-0005-0000-0000-0000C9000000}"/>
    <cellStyle name="Comma 52 2" xfId="719" xr:uid="{EAF69820-B97F-4540-97DD-43D9D946AE0E}"/>
    <cellStyle name="Comma 53" xfId="203" xr:uid="{00000000-0005-0000-0000-0000CA000000}"/>
    <cellStyle name="Comma 53 2" xfId="720" xr:uid="{4A08EDE5-A5B0-4B0C-A855-BF7D58A8CB5C}"/>
    <cellStyle name="Comma 54" xfId="204" xr:uid="{00000000-0005-0000-0000-0000CB000000}"/>
    <cellStyle name="Comma 54 2" xfId="721" xr:uid="{0205D191-4571-472A-947C-E0A35D78E6E6}"/>
    <cellStyle name="Comma 55" xfId="205" xr:uid="{00000000-0005-0000-0000-0000CC000000}"/>
    <cellStyle name="Comma 55 2" xfId="722" xr:uid="{3D449F89-4F0D-4FF3-8D37-988B3A0AFF54}"/>
    <cellStyle name="Comma 56" xfId="206" xr:uid="{00000000-0005-0000-0000-0000CD000000}"/>
    <cellStyle name="Comma 56 2" xfId="723" xr:uid="{03A7AD20-6648-426F-8877-C899260127BD}"/>
    <cellStyle name="Comma 57" xfId="207" xr:uid="{00000000-0005-0000-0000-0000CE000000}"/>
    <cellStyle name="Comma 57 2" xfId="724" xr:uid="{B2C956E6-D9D5-460C-BFED-44D56A0B5F4B}"/>
    <cellStyle name="Comma 58" xfId="208" xr:uid="{00000000-0005-0000-0000-0000CF000000}"/>
    <cellStyle name="Comma 58 2" xfId="725" xr:uid="{B73BAC06-B3D9-4BDB-9493-813E7F21E323}"/>
    <cellStyle name="Comma 59" xfId="209" xr:uid="{00000000-0005-0000-0000-0000D0000000}"/>
    <cellStyle name="Comma 59 2" xfId="726" xr:uid="{95D34257-3828-4C7B-A8A9-F00A1F6B0FCF}"/>
    <cellStyle name="Comma 6" xfId="210" xr:uid="{00000000-0005-0000-0000-0000D1000000}"/>
    <cellStyle name="Comma 6 2" xfId="727" xr:uid="{EF90B537-8ECB-4571-8A56-314C74131B38}"/>
    <cellStyle name="Comma 60" xfId="211" xr:uid="{00000000-0005-0000-0000-0000D2000000}"/>
    <cellStyle name="Comma 60 2" xfId="728" xr:uid="{BE19CE2A-CB12-44A7-B54E-580DE29616EE}"/>
    <cellStyle name="Comma 61" xfId="212" xr:uid="{00000000-0005-0000-0000-0000D3000000}"/>
    <cellStyle name="Comma 61 2" xfId="729" xr:uid="{D725E271-38B7-4C1C-8382-22D34446911D}"/>
    <cellStyle name="Comma 62" xfId="213" xr:uid="{00000000-0005-0000-0000-0000D4000000}"/>
    <cellStyle name="Comma 62 2" xfId="730" xr:uid="{6C86EE1B-68C5-4979-8234-F66731C62D3F}"/>
    <cellStyle name="Comma 63" xfId="214" xr:uid="{00000000-0005-0000-0000-0000D5000000}"/>
    <cellStyle name="Comma 63 2" xfId="731" xr:uid="{C6E2E41E-F60A-4D42-B166-40B6CA1117FD}"/>
    <cellStyle name="Comma 64" xfId="215" xr:uid="{00000000-0005-0000-0000-0000D6000000}"/>
    <cellStyle name="Comma 64 2" xfId="732" xr:uid="{0D02FC4E-6A8C-4CA5-BCF5-C7309B0AE12A}"/>
    <cellStyle name="Comma 65" xfId="216" xr:uid="{00000000-0005-0000-0000-0000D7000000}"/>
    <cellStyle name="Comma 65 2" xfId="733" xr:uid="{BF5102E2-D631-48D2-94AC-1E61EE170E56}"/>
    <cellStyle name="Comma 66" xfId="217" xr:uid="{00000000-0005-0000-0000-0000D8000000}"/>
    <cellStyle name="Comma 66 2" xfId="734" xr:uid="{A907A5F9-462B-40FE-91E7-A9C52D6F60F4}"/>
    <cellStyle name="Comma 67" xfId="218" xr:uid="{00000000-0005-0000-0000-0000D9000000}"/>
    <cellStyle name="Comma 67 2" xfId="735" xr:uid="{39CDA585-98F4-4C20-8E3C-AAF30933985B}"/>
    <cellStyle name="Comma 68" xfId="219" xr:uid="{00000000-0005-0000-0000-0000DA000000}"/>
    <cellStyle name="Comma 68 2" xfId="736" xr:uid="{46159C05-FED5-4EA7-BD45-D8291C19FB91}"/>
    <cellStyle name="Comma 69" xfId="220" xr:uid="{00000000-0005-0000-0000-0000DB000000}"/>
    <cellStyle name="Comma 69 2" xfId="737" xr:uid="{05310068-5862-4FBE-B00F-CC8085486070}"/>
    <cellStyle name="Comma 7" xfId="221" xr:uid="{00000000-0005-0000-0000-0000DC000000}"/>
    <cellStyle name="Comma 7 2" xfId="738" xr:uid="{40BA9AB1-3C04-4063-B286-E6BCE2925A59}"/>
    <cellStyle name="Comma 70" xfId="222" xr:uid="{00000000-0005-0000-0000-0000DD000000}"/>
    <cellStyle name="Comma 70 2" xfId="739" xr:uid="{A3245AF7-43CC-4FCA-BF95-A7AECBF82926}"/>
    <cellStyle name="Comma 71" xfId="223" xr:uid="{00000000-0005-0000-0000-0000DE000000}"/>
    <cellStyle name="Comma 71 2" xfId="740" xr:uid="{AA94694D-7406-44E3-BB26-F25C1847580B}"/>
    <cellStyle name="Comma 72" xfId="224" xr:uid="{00000000-0005-0000-0000-0000DF000000}"/>
    <cellStyle name="Comma 72 2" xfId="741" xr:uid="{CB3BEF45-7F4C-4F11-9D90-FF9D7C3124A2}"/>
    <cellStyle name="Comma 73" xfId="225" xr:uid="{00000000-0005-0000-0000-0000E0000000}"/>
    <cellStyle name="Comma 73 2" xfId="742" xr:uid="{C1BEC5B0-A1AA-405A-B901-036FC455D3DF}"/>
    <cellStyle name="Comma 74" xfId="226" xr:uid="{00000000-0005-0000-0000-0000E1000000}"/>
    <cellStyle name="Comma 74 2" xfId="743" xr:uid="{6D37C705-C29E-492E-9449-C3F84E63EC10}"/>
    <cellStyle name="Comma 75" xfId="227" xr:uid="{00000000-0005-0000-0000-0000E2000000}"/>
    <cellStyle name="Comma 75 2" xfId="744" xr:uid="{23932735-EB8A-46F6-9235-74ED6F70B5D0}"/>
    <cellStyle name="Comma 76" xfId="228" xr:uid="{00000000-0005-0000-0000-0000E3000000}"/>
    <cellStyle name="Comma 76 2" xfId="745" xr:uid="{28D19F10-4DB8-4A2A-ACFC-FD0D0982C9BB}"/>
    <cellStyle name="Comma 77" xfId="229" xr:uid="{00000000-0005-0000-0000-0000E4000000}"/>
    <cellStyle name="Comma 77 2" xfId="746" xr:uid="{097AD559-D5D7-421E-A8DA-15540C42622F}"/>
    <cellStyle name="Comma 78" xfId="230" xr:uid="{00000000-0005-0000-0000-0000E5000000}"/>
    <cellStyle name="Comma 78 2" xfId="747" xr:uid="{2B130BA9-A6B2-46B7-8734-217AA580C643}"/>
    <cellStyle name="Comma 79" xfId="231" xr:uid="{00000000-0005-0000-0000-0000E6000000}"/>
    <cellStyle name="Comma 79 2" xfId="748" xr:uid="{DCECE921-9CD5-4BB8-85BB-82DF56DC27E7}"/>
    <cellStyle name="Comma 8" xfId="232" xr:uid="{00000000-0005-0000-0000-0000E7000000}"/>
    <cellStyle name="Comma 8 2" xfId="749" xr:uid="{4823EB00-A78F-4D24-B929-4C3069CA2A3E}"/>
    <cellStyle name="Comma 80" xfId="233" xr:uid="{00000000-0005-0000-0000-0000E8000000}"/>
    <cellStyle name="Comma 80 2" xfId="750" xr:uid="{2628349C-1C6C-4A99-8A5D-65AA3350810A}"/>
    <cellStyle name="Comma 81" xfId="234" xr:uid="{00000000-0005-0000-0000-0000E9000000}"/>
    <cellStyle name="Comma 81 2" xfId="751" xr:uid="{1ED02BE3-78AC-48AA-B160-E8C177582D2B}"/>
    <cellStyle name="Comma 82" xfId="235" xr:uid="{00000000-0005-0000-0000-0000EA000000}"/>
    <cellStyle name="Comma 82 2" xfId="752" xr:uid="{CE4BCE68-BBA7-4659-A36D-FF4537B6BEBB}"/>
    <cellStyle name="Comma 83" xfId="236" xr:uid="{00000000-0005-0000-0000-0000EB000000}"/>
    <cellStyle name="Comma 83 2" xfId="753" xr:uid="{F097A1ED-ABD8-4A88-8107-F6CAC98E03F8}"/>
    <cellStyle name="Comma 84" xfId="237" xr:uid="{00000000-0005-0000-0000-0000EC000000}"/>
    <cellStyle name="Comma 84 2" xfId="754" xr:uid="{2AD69148-9C01-4341-A3A6-8A6AB23F5CDA}"/>
    <cellStyle name="Comma 85" xfId="238" xr:uid="{00000000-0005-0000-0000-0000ED000000}"/>
    <cellStyle name="Comma 85 2" xfId="755" xr:uid="{86193A22-D648-4692-AFC4-1A4BEBC80E17}"/>
    <cellStyle name="Comma 86" xfId="239" xr:uid="{00000000-0005-0000-0000-0000EE000000}"/>
    <cellStyle name="Comma 86 2" xfId="756" xr:uid="{A581B2AC-5530-40F8-B7DD-4846FD17E6E7}"/>
    <cellStyle name="Comma 87" xfId="240" xr:uid="{00000000-0005-0000-0000-0000EF000000}"/>
    <cellStyle name="Comma 87 2" xfId="757" xr:uid="{118373E7-09CE-4412-956F-6F492EE62F2E}"/>
    <cellStyle name="Comma 88" xfId="241" xr:uid="{00000000-0005-0000-0000-0000F0000000}"/>
    <cellStyle name="Comma 88 2" xfId="758" xr:uid="{A88FA031-342B-4802-B4BF-D3A13321F8C0}"/>
    <cellStyle name="Comma 89" xfId="242" xr:uid="{00000000-0005-0000-0000-0000F1000000}"/>
    <cellStyle name="Comma 89 2" xfId="759" xr:uid="{96BF6AF1-66EC-481A-957C-CD14593CDBD6}"/>
    <cellStyle name="Comma 9" xfId="243" xr:uid="{00000000-0005-0000-0000-0000F2000000}"/>
    <cellStyle name="Comma 9 2" xfId="760" xr:uid="{EFFCE684-3F72-4DDD-B995-DAFFE66C9050}"/>
    <cellStyle name="Comma 90" xfId="244" xr:uid="{00000000-0005-0000-0000-0000F3000000}"/>
    <cellStyle name="Comma 90 2" xfId="761" xr:uid="{2238480A-AAEB-4A41-8579-646BD3BA12F4}"/>
    <cellStyle name="Comma 91" xfId="245" xr:uid="{00000000-0005-0000-0000-0000F4000000}"/>
    <cellStyle name="Comma 91 2" xfId="762" xr:uid="{E3216EE4-06DC-4173-AFCA-2DC8D77D8332}"/>
    <cellStyle name="Comma 92" xfId="246" xr:uid="{00000000-0005-0000-0000-0000F5000000}"/>
    <cellStyle name="Comma 92 2" xfId="763" xr:uid="{B18A1D56-71E5-4BA9-B6A2-30F0A033722F}"/>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4 2" xfId="764" xr:uid="{61BF3964-BF02-466F-A5E7-5FD51ED6B381}"/>
    <cellStyle name="Currency [0] 5" xfId="257" xr:uid="{00000000-0005-0000-0000-000000010000}"/>
    <cellStyle name="Currency 10" xfId="258" xr:uid="{00000000-0005-0000-0000-000001010000}"/>
    <cellStyle name="Currency 100" xfId="259" xr:uid="{00000000-0005-0000-0000-000002010000}"/>
    <cellStyle name="Currency 100 2" xfId="765" xr:uid="{FAFD8692-FF15-41C0-A8A6-0AC34EF1D7EC}"/>
    <cellStyle name="Currency 101" xfId="260" xr:uid="{00000000-0005-0000-0000-000003010000}"/>
    <cellStyle name="Currency 101 2" xfId="766" xr:uid="{3E01484C-D441-49E3-B266-4858E8EC97FE}"/>
    <cellStyle name="Currency 102" xfId="261" xr:uid="{00000000-0005-0000-0000-000004010000}"/>
    <cellStyle name="Currency 102 2" xfId="767" xr:uid="{28CC549B-1F2E-4841-800D-F6D85B83B07A}"/>
    <cellStyle name="Currency 103" xfId="262" xr:uid="{00000000-0005-0000-0000-000005010000}"/>
    <cellStyle name="Currency 103 2" xfId="768" xr:uid="{37800DB7-3C4D-49CD-A5E6-2DC1CEB04650}"/>
    <cellStyle name="Currency 104" xfId="263" xr:uid="{00000000-0005-0000-0000-000006010000}"/>
    <cellStyle name="Currency 104 2" xfId="769" xr:uid="{57107CF2-358C-43F8-8D4A-348A1D3B7872}"/>
    <cellStyle name="Currency 105" xfId="264" xr:uid="{00000000-0005-0000-0000-000007010000}"/>
    <cellStyle name="Currency 105 2" xfId="770" xr:uid="{02CF6AF3-323D-45FA-B7C9-3DA4F97C96B3}"/>
    <cellStyle name="Currency 106" xfId="265" xr:uid="{00000000-0005-0000-0000-000008010000}"/>
    <cellStyle name="Currency 106 2" xfId="771" xr:uid="{979B1D86-7966-4820-813C-0D08F3FE1516}"/>
    <cellStyle name="Currency 107" xfId="266" xr:uid="{00000000-0005-0000-0000-000009010000}"/>
    <cellStyle name="Currency 107 2" xfId="772" xr:uid="{099C9C17-0556-446F-9303-248C52EB4B5F}"/>
    <cellStyle name="Currency 108" xfId="267" xr:uid="{00000000-0005-0000-0000-00000A010000}"/>
    <cellStyle name="Currency 108 2" xfId="773" xr:uid="{5959E374-3EF8-4C8B-804F-4EFC69D7AD2B}"/>
    <cellStyle name="Currency 109" xfId="268" xr:uid="{00000000-0005-0000-0000-00000B010000}"/>
    <cellStyle name="Currency 109 2" xfId="774" xr:uid="{A4E2A529-90F6-4F94-B669-AB93A81871EF}"/>
    <cellStyle name="Currency 11" xfId="269" xr:uid="{00000000-0005-0000-0000-00000C010000}"/>
    <cellStyle name="Currency 110" xfId="270" xr:uid="{00000000-0005-0000-0000-00000D010000}"/>
    <cellStyle name="Currency 110 2" xfId="775" xr:uid="{4D6E0FED-FD1E-4F5E-AA99-7BFFF332DEDC}"/>
    <cellStyle name="Currency 111" xfId="271" xr:uid="{00000000-0005-0000-0000-00000E010000}"/>
    <cellStyle name="Currency 111 2" xfId="776" xr:uid="{13C3A911-F01D-4398-AF02-EC9D71176A5B}"/>
    <cellStyle name="Currency 112" xfId="272" xr:uid="{00000000-0005-0000-0000-00000F010000}"/>
    <cellStyle name="Currency 112 2" xfId="777" xr:uid="{9E6D618A-8F1D-4FBF-BF32-EAFC66217302}"/>
    <cellStyle name="Currency 113" xfId="273" xr:uid="{00000000-0005-0000-0000-000010010000}"/>
    <cellStyle name="Currency 113 2" xfId="778" xr:uid="{25DF8D26-1340-4F5B-B4D8-0CF3E7F52532}"/>
    <cellStyle name="Currency 114" xfId="274" xr:uid="{00000000-0005-0000-0000-000011010000}"/>
    <cellStyle name="Currency 114 2" xfId="779" xr:uid="{10E872A1-9F45-4FB9-A81E-F78EABBC2B74}"/>
    <cellStyle name="Currency 115" xfId="275" xr:uid="{00000000-0005-0000-0000-000012010000}"/>
    <cellStyle name="Currency 115 2" xfId="780" xr:uid="{4B265744-8FFE-4488-9937-1B59136AAA83}"/>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39 2" xfId="781" xr:uid="{C446D697-3E26-4033-A86D-7703F5F3506A}"/>
    <cellStyle name="Currency 14" xfId="302" xr:uid="{00000000-0005-0000-0000-00002D010000}"/>
    <cellStyle name="Currency 140" xfId="303" xr:uid="{00000000-0005-0000-0000-00002E010000}"/>
    <cellStyle name="Currency 140 2" xfId="782" xr:uid="{15B16182-E895-46CD-B3D7-0575BAC73599}"/>
    <cellStyle name="Currency 141" xfId="304" xr:uid="{00000000-0005-0000-0000-00002F010000}"/>
    <cellStyle name="Currency 141 2" xfId="783" xr:uid="{A4B23C16-3879-4CA9-A3FF-87177F382815}"/>
    <cellStyle name="Currency 142" xfId="305" xr:uid="{00000000-0005-0000-0000-000030010000}"/>
    <cellStyle name="Currency 142 2" xfId="784" xr:uid="{42E3F89F-86AC-45DA-93C3-7ABB9A08E418}"/>
    <cellStyle name="Currency 143" xfId="306" xr:uid="{00000000-0005-0000-0000-000031010000}"/>
    <cellStyle name="Currency 143 2" xfId="785" xr:uid="{AB6A4A27-D773-4A2B-97C0-2C9131FFB517}"/>
    <cellStyle name="Currency 144" xfId="307" xr:uid="{00000000-0005-0000-0000-000032010000}"/>
    <cellStyle name="Currency 144 2" xfId="786" xr:uid="{63C21065-F26E-480A-B5E6-095A6D253F58}"/>
    <cellStyle name="Currency 145" xfId="308" xr:uid="{00000000-0005-0000-0000-000033010000}"/>
    <cellStyle name="Currency 145 2" xfId="787" xr:uid="{6D11B053-C15E-443A-B6C7-03961C7CA79C}"/>
    <cellStyle name="Currency 146" xfId="309" xr:uid="{00000000-0005-0000-0000-000034010000}"/>
    <cellStyle name="Currency 146 2" xfId="788" xr:uid="{54EEBCCC-BD6D-4AB7-A7BF-81D4A85F684A}"/>
    <cellStyle name="Currency 147" xfId="310" xr:uid="{00000000-0005-0000-0000-000035010000}"/>
    <cellStyle name="Currency 147 2" xfId="789" xr:uid="{36E879F3-E4B5-489A-9561-E31183153C07}"/>
    <cellStyle name="Currency 148" xfId="311" xr:uid="{00000000-0005-0000-0000-000036010000}"/>
    <cellStyle name="Currency 148 2" xfId="790" xr:uid="{15C68EC8-A6C8-4BF0-9B6F-79423ED184BC}"/>
    <cellStyle name="Currency 149" xfId="312" xr:uid="{00000000-0005-0000-0000-000037010000}"/>
    <cellStyle name="Currency 149 2" xfId="791" xr:uid="{3FF861F5-DE34-49D3-8C94-CC35E0F1E0A4}"/>
    <cellStyle name="Currency 15" xfId="313" xr:uid="{00000000-0005-0000-0000-000038010000}"/>
    <cellStyle name="Currency 150" xfId="314" xr:uid="{00000000-0005-0000-0000-000039010000}"/>
    <cellStyle name="Currency 150 2" xfId="792" xr:uid="{141F75D3-D9C2-45F5-9F27-E32EA33F979A}"/>
    <cellStyle name="Currency 151" xfId="315" xr:uid="{00000000-0005-0000-0000-00003A010000}"/>
    <cellStyle name="Currency 151 2" xfId="793" xr:uid="{1CD64953-89EC-4E6A-907B-9FC16292D56F}"/>
    <cellStyle name="Currency 152" xfId="316" xr:uid="{00000000-0005-0000-0000-00003B010000}"/>
    <cellStyle name="Currency 152 2" xfId="794" xr:uid="{D7EF8A76-697D-4220-ADD9-B05911D158F7}"/>
    <cellStyle name="Currency 153" xfId="317" xr:uid="{00000000-0005-0000-0000-00003C010000}"/>
    <cellStyle name="Currency 153 2" xfId="795" xr:uid="{02AC4483-934A-496E-A8A1-589DC5070D8C}"/>
    <cellStyle name="Currency 154" xfId="318" xr:uid="{00000000-0005-0000-0000-00003D010000}"/>
    <cellStyle name="Currency 154 2" xfId="796" xr:uid="{EC65B574-FA66-4058-9706-E044486FBF34}"/>
    <cellStyle name="Currency 155" xfId="319" xr:uid="{00000000-0005-0000-0000-00003E010000}"/>
    <cellStyle name="Currency 155 2" xfId="797" xr:uid="{31ABD5B8-EACB-4C93-BA57-0970BF0F5BE0}"/>
    <cellStyle name="Currency 156" xfId="320" xr:uid="{00000000-0005-0000-0000-00003F010000}"/>
    <cellStyle name="Currency 156 2" xfId="798" xr:uid="{458606C9-60E3-4CE0-91C1-C09D0395F8FF}"/>
    <cellStyle name="Currency 157" xfId="321" xr:uid="{00000000-0005-0000-0000-000040010000}"/>
    <cellStyle name="Currency 157 2" xfId="799" xr:uid="{3531ECEC-3D48-405B-BE3B-265BDD621D91}"/>
    <cellStyle name="Currency 158" xfId="322" xr:uid="{00000000-0005-0000-0000-000041010000}"/>
    <cellStyle name="Currency 158 2" xfId="800" xr:uid="{66C79D32-1010-48BB-8B17-ACCCD113B1D1}"/>
    <cellStyle name="Currency 159" xfId="323" xr:uid="{00000000-0005-0000-0000-000042010000}"/>
    <cellStyle name="Currency 159 2" xfId="801" xr:uid="{0EB73997-0CCB-4975-97BC-80BBB7A3391E}"/>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3 2" xfId="802" xr:uid="{329EDE61-5EAF-4950-9FFB-A3B985DE9018}"/>
    <cellStyle name="Currency 204" xfId="374" xr:uid="{00000000-0005-0000-0000-000075010000}"/>
    <cellStyle name="Currency 204 2" xfId="803" xr:uid="{5608C8C3-9297-47CC-BBD6-CED91280A003}"/>
    <cellStyle name="Currency 205" xfId="375" xr:uid="{00000000-0005-0000-0000-000076010000}"/>
    <cellStyle name="Currency 205 2" xfId="804" xr:uid="{29066917-BF8A-4A0A-8737-7C0D645E4267}"/>
    <cellStyle name="Currency 206" xfId="376" xr:uid="{00000000-0005-0000-0000-000077010000}"/>
    <cellStyle name="Currency 206 2" xfId="805" xr:uid="{A7E9F347-B142-47F5-A265-3BCAA2F9A374}"/>
    <cellStyle name="Currency 207" xfId="377" xr:uid="{00000000-0005-0000-0000-000078010000}"/>
    <cellStyle name="Currency 207 2" xfId="806" xr:uid="{28B0E5AF-32D0-4F31-B257-168C94BD3945}"/>
    <cellStyle name="Currency 208" xfId="378" xr:uid="{00000000-0005-0000-0000-000079010000}"/>
    <cellStyle name="Currency 208 2" xfId="807" xr:uid="{707557D4-5C6B-4E38-A88D-C078F426CE0A}"/>
    <cellStyle name="Currency 209" xfId="379" xr:uid="{00000000-0005-0000-0000-00007A010000}"/>
    <cellStyle name="Currency 209 2" xfId="808" xr:uid="{27EC12F1-6DD1-4BC5-BD12-50ADE9E25E6A}"/>
    <cellStyle name="Currency 21" xfId="380" xr:uid="{00000000-0005-0000-0000-00007B010000}"/>
    <cellStyle name="Currency 210" xfId="381" xr:uid="{00000000-0005-0000-0000-00007C010000}"/>
    <cellStyle name="Currency 210 2" xfId="809" xr:uid="{5A1288E1-648C-4F8D-B196-A31D2B181A29}"/>
    <cellStyle name="Currency 211" xfId="382" xr:uid="{00000000-0005-0000-0000-00007D010000}"/>
    <cellStyle name="Currency 211 2" xfId="810" xr:uid="{53FF6035-73B6-4FED-A7BA-6DFC6E329553}"/>
    <cellStyle name="Currency 212" xfId="383" xr:uid="{00000000-0005-0000-0000-00007E010000}"/>
    <cellStyle name="Currency 212 2" xfId="811" xr:uid="{BBCEAC9D-9E16-4663-8E5D-4BA87E5640BC}"/>
    <cellStyle name="Currency 213" xfId="384" xr:uid="{00000000-0005-0000-0000-00007F010000}"/>
    <cellStyle name="Currency 213 2" xfId="812" xr:uid="{FBC84695-60BA-4B47-BE04-E7E3087BB91C}"/>
    <cellStyle name="Currency 214" xfId="385" xr:uid="{00000000-0005-0000-0000-000080010000}"/>
    <cellStyle name="Currency 214 2" xfId="813" xr:uid="{988436D6-4F55-4D2F-8200-E7B67E744DF1}"/>
    <cellStyle name="Currency 215" xfId="386" xr:uid="{00000000-0005-0000-0000-000081010000}"/>
    <cellStyle name="Currency 215 2" xfId="814" xr:uid="{6945ABAE-E843-4C7F-ADF4-8B56D4BB01C1}"/>
    <cellStyle name="Currency 216" xfId="387" xr:uid="{00000000-0005-0000-0000-000082010000}"/>
    <cellStyle name="Currency 216 2" xfId="815" xr:uid="{52325A92-909B-4FD0-A297-5FB1F0AE8DF9}"/>
    <cellStyle name="Currency 217" xfId="388" xr:uid="{00000000-0005-0000-0000-000083010000}"/>
    <cellStyle name="Currency 217 2" xfId="816" xr:uid="{ABD0CBBE-CC9D-4D04-9017-44C4FD1B5104}"/>
    <cellStyle name="Currency 218" xfId="389" xr:uid="{00000000-0005-0000-0000-000084010000}"/>
    <cellStyle name="Currency 218 2" xfId="817" xr:uid="{5D40D995-5E42-4644-B472-AA9D64EFC206}"/>
    <cellStyle name="Currency 219" xfId="390" xr:uid="{00000000-0005-0000-0000-000085010000}"/>
    <cellStyle name="Currency 219 2" xfId="818" xr:uid="{6878E3CE-46D1-4162-AEBC-CC66148EB1D4}"/>
    <cellStyle name="Currency 22" xfId="391" xr:uid="{00000000-0005-0000-0000-000086010000}"/>
    <cellStyle name="Currency 220" xfId="392" xr:uid="{00000000-0005-0000-0000-000087010000}"/>
    <cellStyle name="Currency 220 2" xfId="819" xr:uid="{25D8E747-C56D-4EC4-8C16-0C70CB928D87}"/>
    <cellStyle name="Currency 221" xfId="393" xr:uid="{00000000-0005-0000-0000-000088010000}"/>
    <cellStyle name="Currency 221 2" xfId="820" xr:uid="{59ACC995-8639-45D0-AC6D-5095B56B68C4}"/>
    <cellStyle name="Currency 222" xfId="394" xr:uid="{00000000-0005-0000-0000-000089010000}"/>
    <cellStyle name="Currency 222 2" xfId="821" xr:uid="{CBD46A1C-7D10-46C1-8ED2-B4CBD68A7218}"/>
    <cellStyle name="Currency 223" xfId="395" xr:uid="{00000000-0005-0000-0000-00008A010000}"/>
    <cellStyle name="Currency 223 2" xfId="822" xr:uid="{38E0A2B7-551A-4642-9932-7D4D3B1AD343}"/>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3 2" xfId="823" xr:uid="{67D784CC-A5DF-4A13-8DAD-8C55E323E6A8}"/>
    <cellStyle name="Currency 94" xfId="474" xr:uid="{00000000-0005-0000-0000-0000D9010000}"/>
    <cellStyle name="Currency 94 2" xfId="824" xr:uid="{3E418058-F995-4D77-9255-583633C6F865}"/>
    <cellStyle name="Currency 95" xfId="475" xr:uid="{00000000-0005-0000-0000-0000DA010000}"/>
    <cellStyle name="Currency 95 2" xfId="825" xr:uid="{FD7679C2-6DD3-4BC5-955A-0F3566DD27DC}"/>
    <cellStyle name="Currency 96" xfId="476" xr:uid="{00000000-0005-0000-0000-0000DB010000}"/>
    <cellStyle name="Currency 96 2" xfId="826" xr:uid="{E63CD4ED-3B44-40D7-9399-57DB58DA1B39}"/>
    <cellStyle name="Currency 97" xfId="477" xr:uid="{00000000-0005-0000-0000-0000DC010000}"/>
    <cellStyle name="Currency 97 2" xfId="827" xr:uid="{87AB9A5D-753D-470E-B819-06B2F0448F30}"/>
    <cellStyle name="Currency 98" xfId="478" xr:uid="{00000000-0005-0000-0000-0000DD010000}"/>
    <cellStyle name="Currency 98 2" xfId="828" xr:uid="{549AD012-C904-494D-AFA4-74E991BF673D}"/>
    <cellStyle name="Currency 99" xfId="479" xr:uid="{00000000-0005-0000-0000-0000DE010000}"/>
    <cellStyle name="Currency 99 2" xfId="829" xr:uid="{5DFA4947-ACC6-4862-8497-3593E8C62619}"/>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2 2 2" xfId="830" xr:uid="{2403DF54-B3CE-4357-98F6-CACD3542584D}"/>
    <cellStyle name="Heading 3 2" xfId="485" xr:uid="{00000000-0005-0000-0000-0000E4010000}"/>
    <cellStyle name="Heading 4 2" xfId="486" xr:uid="{00000000-0005-0000-0000-0000E5010000}"/>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Hyperlink 7 2" xfId="831" xr:uid="{F74500A9-4437-42F8-A9DB-CB5F8D35E46B}"/>
    <cellStyle name="Input 2" xfId="495" xr:uid="{00000000-0005-0000-0000-0000EE010000}"/>
    <cellStyle name="Linked Cell 2" xfId="496" xr:uid="{00000000-0005-0000-0000-0000EF010000}"/>
    <cellStyle name="Neutral 2" xfId="497" xr:uid="{00000000-0005-0000-0000-0000F001000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2 2" xfId="836" xr:uid="{8DE41FC6-F88D-4C3F-9452-B067CE04DBF0}"/>
    <cellStyle name="Normal 13 2 2 2 3" xfId="507" xr:uid="{00000000-0005-0000-0000-0000FB010000}"/>
    <cellStyle name="Normal 13 2 2 2 3 2" xfId="837" xr:uid="{1D081599-BEA0-404C-9A81-BB0F60F89F55}"/>
    <cellStyle name="Normal 13 2 2 2 4" xfId="835" xr:uid="{ECE96F93-EDD4-46F9-91F1-1942327DF3B6}"/>
    <cellStyle name="Normal 13 2 2 3" xfId="834" xr:uid="{55D086C9-030A-4DDB-805C-E99AAEA54ED0}"/>
    <cellStyle name="Normal 13 2 3" xfId="508" xr:uid="{00000000-0005-0000-0000-0000FC010000}"/>
    <cellStyle name="Normal 13 2 3 2" xfId="838" xr:uid="{ABE4C6B5-3D73-4612-8F5C-E2B830E8B8B6}"/>
    <cellStyle name="Normal 13 2 4" xfId="833" xr:uid="{FCEE60F7-9B9C-4170-96A0-A36396715D83}"/>
    <cellStyle name="Normal 13 3" xfId="509" xr:uid="{00000000-0005-0000-0000-0000FD010000}"/>
    <cellStyle name="Normal 13 3 2" xfId="510" xr:uid="{00000000-0005-0000-0000-0000FE010000}"/>
    <cellStyle name="Normal 13 3 2 2" xfId="840" xr:uid="{96176C9A-7235-4376-8F4E-2CEC603289E7}"/>
    <cellStyle name="Normal 13 3 3" xfId="839" xr:uid="{A23DBF8B-EA5D-49DD-9C0C-04D3043D2C8E}"/>
    <cellStyle name="Normal 13 4" xfId="511" xr:uid="{00000000-0005-0000-0000-0000FF010000}"/>
    <cellStyle name="Normal 13 4 2" xfId="841" xr:uid="{10D44C5F-CB96-423B-86D2-91F9CA6148DC}"/>
    <cellStyle name="Normal 13 5" xfId="832" xr:uid="{FAA10A7F-A286-4FF0-AA0B-150FECF9DE7E}"/>
    <cellStyle name="Normal 13 6" xfId="512" xr:uid="{00000000-0005-0000-0000-000000020000}"/>
    <cellStyle name="Normal 13 6 2" xfId="842" xr:uid="{DD7CE82C-4DEC-49D8-9E1B-44927F46EBB3}"/>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2 2" xfId="843" xr:uid="{93C86DBD-AB06-4817-AE05-A8D680C05CEE}"/>
    <cellStyle name="Normal 2 2 3" xfId="520" xr:uid="{00000000-0005-0000-0000-000008020000}"/>
    <cellStyle name="Normal 2 2 3 2" xfId="844" xr:uid="{3316E4CD-F212-4382-ABA2-6DC863AD7987}"/>
    <cellStyle name="Normal 2 3" xfId="521" xr:uid="{00000000-0005-0000-0000-000009020000}"/>
    <cellStyle name="Normal 2 3 2" xfId="522" xr:uid="{00000000-0005-0000-0000-00000A020000}"/>
    <cellStyle name="Normal 2 3 2 2" xfId="845" xr:uid="{1532EA7E-C5A3-4801-A654-4E53C0A8C392}"/>
    <cellStyle name="Normal 2 4" xfId="523" xr:uid="{00000000-0005-0000-0000-00000B020000}"/>
    <cellStyle name="Normal 2 4 2" xfId="524" xr:uid="{00000000-0005-0000-0000-00000C020000}"/>
    <cellStyle name="Normal 2 4 2 2" xfId="846" xr:uid="{568D1D25-23D8-49CC-9CFC-0C7A7C0EA924}"/>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2 2" xfId="847" xr:uid="{7040C948-F7D1-4FDF-A66F-1FC95C49FC7B}"/>
    <cellStyle name="Normal 3 3" xfId="530" xr:uid="{00000000-0005-0000-0000-000012020000}"/>
    <cellStyle name="Normal 3 4" xfId="531" xr:uid="{00000000-0005-0000-0000-000013020000}"/>
    <cellStyle name="Normal 3 4 2" xfId="848" xr:uid="{C889C68B-51F5-491A-910F-770CCF0AE4F4}"/>
    <cellStyle name="Normal 3 8" xfId="532" xr:uid="{00000000-0005-0000-0000-000014020000}"/>
    <cellStyle name="Normal 3 8 2" xfId="533" xr:uid="{00000000-0005-0000-0000-000015020000}"/>
    <cellStyle name="Normal 3 8 2 2" xfId="534" xr:uid="{00000000-0005-0000-0000-000016020000}"/>
    <cellStyle name="Normal 3 8 2 2 2" xfId="851" xr:uid="{61D7C59E-FF18-4A49-8CBE-A1C2F7C135B7}"/>
    <cellStyle name="Normal 3 8 2 3" xfId="850" xr:uid="{3B2278B1-D86A-4671-9F9F-7175B45349A1}"/>
    <cellStyle name="Normal 3 8 3" xfId="535" xr:uid="{00000000-0005-0000-0000-000017020000}"/>
    <cellStyle name="Normal 3 8 3 2" xfId="852" xr:uid="{B2C3088D-E784-49D4-918C-DB500C29C42C}"/>
    <cellStyle name="Normal 3 8 4" xfId="849" xr:uid="{062BDBAD-A518-4CEE-886A-6AB3B67FE452}"/>
    <cellStyle name="Normal 4" xfId="536" xr:uid="{00000000-0005-0000-0000-000018020000}"/>
    <cellStyle name="Normal 4 2" xfId="537" xr:uid="{00000000-0005-0000-0000-000019020000}"/>
    <cellStyle name="Normal 4 2 2" xfId="853" xr:uid="{0AF088A9-EA84-486A-A155-73A8B426036E}"/>
    <cellStyle name="Normal 4 3" xfId="538" xr:uid="{00000000-0005-0000-0000-00001A020000}"/>
    <cellStyle name="Normal 4 4" xfId="539" xr:uid="{00000000-0005-0000-0000-00001B020000}"/>
    <cellStyle name="Normal 4 4 2" xfId="854" xr:uid="{879C93EB-4DBB-49BA-BF15-E4926D71324C}"/>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 3 2" xfId="855" xr:uid="{92FCD120-B16E-4D62-86E8-A1B084B35115}"/>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2 2" xfId="857" xr:uid="{A75D247A-1BC6-41AE-9112-C8C83F127A02}"/>
    <cellStyle name="Normal 6 3" xfId="566" xr:uid="{00000000-0005-0000-0000-000036020000}"/>
    <cellStyle name="Normal 6 4" xfId="856" xr:uid="{C4B33DC1-1B2A-46FE-A4EA-266FF3DE824F}"/>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 9 2" xfId="867" xr:uid="{9B5F0D08-4C24-41DE-9211-BE9FCA6D6833}"/>
    <cellStyle name="Normal_Sheet1" xfId="570" xr:uid="{00000000-0005-0000-0000-00003A020000}"/>
    <cellStyle name="Normale" xfId="0" builtinId="0"/>
    <cellStyle name="Normale 2" xfId="868" xr:uid="{88F65D19-A2AC-490F-B131-0EAB5FFAD050}"/>
    <cellStyle name="Note 2" xfId="571" xr:uid="{00000000-0005-0000-0000-00003B020000}"/>
    <cellStyle name="Note 2 2" xfId="858" xr:uid="{37D8DE12-0F5E-411D-9D29-46775FFB3772}"/>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2 2 2" xfId="862" xr:uid="{124FECDB-8AB5-4033-91CC-9280589268E2}"/>
    <cellStyle name="Standard 4 2 2 3" xfId="861" xr:uid="{DC2004D5-C619-4F9D-923A-90C8D39A5054}"/>
    <cellStyle name="Standard 4 2 3" xfId="579" xr:uid="{00000000-0005-0000-0000-000043020000}"/>
    <cellStyle name="Standard 4 2 3 2" xfId="863" xr:uid="{3C0E9EA0-33CC-40CD-8822-171337026574}"/>
    <cellStyle name="Standard 4 2 4" xfId="860" xr:uid="{0AF2B892-0356-45D5-99EC-FB9BFD3BCD0C}"/>
    <cellStyle name="Standard 4 3" xfId="580" xr:uid="{00000000-0005-0000-0000-000044020000}"/>
    <cellStyle name="Standard 4 3 2" xfId="581" xr:uid="{00000000-0005-0000-0000-000045020000}"/>
    <cellStyle name="Standard 4 3 2 2" xfId="865" xr:uid="{32235417-93D8-46FA-846C-7E433747592C}"/>
    <cellStyle name="Standard 4 3 3" xfId="864" xr:uid="{3C12BC7C-9825-4680-B600-A90E9142102B}"/>
    <cellStyle name="Standard 4 4" xfId="582" xr:uid="{00000000-0005-0000-0000-000046020000}"/>
    <cellStyle name="Standard 4 4 2" xfId="866" xr:uid="{9FCDC588-3F9D-4DD5-AC08-3FAD54A8EB51}"/>
    <cellStyle name="Standard 4 5" xfId="859" xr:uid="{1EC52198-AB23-452D-8915-07970652088E}"/>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80">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3" Type="http://schemas.openxmlformats.org/officeDocument/2006/relationships/hyperlink" Target="mailto:Anicoli@umbragroup.com" TargetMode="External"/><Relationship Id="rId7" Type="http://schemas.openxmlformats.org/officeDocument/2006/relationships/comments" Target="../comments1.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vmlDrawing" Target="../drawings/vmlDrawing1.vml"/><Relationship Id="rId5" Type="http://schemas.openxmlformats.org/officeDocument/2006/relationships/drawing" Target="../drawings/drawing4.xml"/><Relationship Id="rId4" Type="http://schemas.openxmlformats.org/officeDocument/2006/relationships/printerSettings" Target="../printerSettings/printerSettings10.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8"/>
      <c r="B2" s="5" t="s">
        <v>843</v>
      </c>
      <c r="C2" s="3"/>
      <c r="D2" s="175"/>
      <c r="E2" s="3"/>
      <c r="F2" s="3"/>
      <c r="G2" s="25"/>
    </row>
    <row r="3" spans="1:7">
      <c r="A3" s="308"/>
      <c r="B3" s="3" t="s">
        <v>835</v>
      </c>
      <c r="C3" s="5"/>
      <c r="D3" s="176"/>
      <c r="E3" s="3"/>
      <c r="F3" s="5"/>
      <c r="G3" s="25"/>
    </row>
    <row r="4" spans="1:7" ht="15.75">
      <c r="A4" s="308"/>
      <c r="B4" s="30" t="s">
        <v>845</v>
      </c>
      <c r="C4" s="6"/>
      <c r="D4" s="177"/>
      <c r="E4" s="3"/>
      <c r="F4" s="6"/>
      <c r="G4" s="25"/>
    </row>
    <row r="5" spans="1:7">
      <c r="A5" s="308"/>
      <c r="B5" s="29" t="s">
        <v>1036</v>
      </c>
      <c r="C5" s="4"/>
      <c r="D5" s="178"/>
      <c r="E5" s="3"/>
      <c r="F5" s="4"/>
      <c r="G5" s="25"/>
    </row>
    <row r="6" spans="1:7">
      <c r="A6" s="308"/>
      <c r="B6" s="3"/>
      <c r="C6" s="3"/>
      <c r="D6" s="175"/>
      <c r="E6" s="3"/>
      <c r="F6" s="3"/>
      <c r="G6" s="25"/>
    </row>
    <row r="7" spans="1:7">
      <c r="A7" s="308"/>
      <c r="B7" s="3"/>
      <c r="C7" s="3"/>
      <c r="D7" s="175"/>
      <c r="E7" s="3"/>
      <c r="F7" s="3"/>
      <c r="G7" s="25"/>
    </row>
    <row r="8" spans="1:7">
      <c r="A8" s="308"/>
      <c r="B8" s="3"/>
      <c r="C8" s="3"/>
      <c r="D8" s="175"/>
      <c r="E8" s="3"/>
      <c r="F8" s="3"/>
      <c r="G8" s="25"/>
    </row>
    <row r="9" spans="1:7">
      <c r="A9" s="308"/>
      <c r="B9" s="311" t="s">
        <v>846</v>
      </c>
      <c r="C9" s="311"/>
      <c r="D9" s="311"/>
      <c r="E9" s="311"/>
      <c r="F9" s="311"/>
      <c r="G9" s="25"/>
    </row>
    <row r="10" spans="1:7" ht="27" customHeight="1">
      <c r="A10" s="308"/>
      <c r="B10" s="312" t="s">
        <v>438</v>
      </c>
      <c r="C10" s="312"/>
      <c r="D10" s="312"/>
      <c r="E10" s="312"/>
      <c r="F10" s="312"/>
      <c r="G10" s="25"/>
    </row>
    <row r="11" spans="1:7" ht="27" customHeight="1">
      <c r="A11" s="308"/>
      <c r="B11" s="313"/>
      <c r="C11" s="313"/>
      <c r="D11" s="313"/>
      <c r="E11" s="313"/>
      <c r="F11" s="313"/>
      <c r="G11" s="25"/>
    </row>
    <row r="12" spans="1:7">
      <c r="A12" s="308"/>
      <c r="B12" s="31" t="s">
        <v>844</v>
      </c>
      <c r="C12" s="32" t="s">
        <v>847</v>
      </c>
      <c r="D12" s="179" t="s">
        <v>848</v>
      </c>
      <c r="E12" s="32" t="s">
        <v>612</v>
      </c>
      <c r="F12" s="32" t="s">
        <v>613</v>
      </c>
      <c r="G12" s="25"/>
    </row>
    <row r="13" spans="1:7" ht="33.75">
      <c r="A13" s="308"/>
      <c r="B13" s="2">
        <v>1</v>
      </c>
      <c r="C13" s="27" t="s">
        <v>1084</v>
      </c>
      <c r="D13" s="28" t="s">
        <v>872</v>
      </c>
      <c r="E13" s="163" t="s">
        <v>849</v>
      </c>
      <c r="F13" s="163"/>
      <c r="G13" s="25"/>
    </row>
    <row r="14" spans="1:7" ht="33.75">
      <c r="A14" s="308"/>
      <c r="B14" s="2">
        <v>2</v>
      </c>
      <c r="C14" s="27" t="s">
        <v>1084</v>
      </c>
      <c r="D14" s="28" t="s">
        <v>1021</v>
      </c>
      <c r="E14" s="163" t="s">
        <v>530</v>
      </c>
      <c r="F14" s="163" t="s">
        <v>531</v>
      </c>
      <c r="G14" s="25"/>
    </row>
    <row r="15" spans="1:7" ht="89.1" customHeight="1">
      <c r="A15" s="308"/>
      <c r="B15" s="314">
        <v>2.0099999999999998</v>
      </c>
      <c r="C15" s="305" t="s">
        <v>1084</v>
      </c>
      <c r="D15" s="317" t="s">
        <v>2246</v>
      </c>
      <c r="E15" s="164" t="s">
        <v>614</v>
      </c>
      <c r="F15" s="164" t="s">
        <v>617</v>
      </c>
      <c r="G15" s="25"/>
    </row>
    <row r="16" spans="1:7" ht="99" customHeight="1">
      <c r="A16" s="308"/>
      <c r="B16" s="315"/>
      <c r="C16" s="306"/>
      <c r="D16" s="318"/>
      <c r="E16" s="165"/>
      <c r="F16" s="165" t="s">
        <v>615</v>
      </c>
      <c r="G16" s="25"/>
    </row>
    <row r="17" spans="1:7" ht="63" customHeight="1">
      <c r="A17" s="308"/>
      <c r="B17" s="316"/>
      <c r="C17" s="307"/>
      <c r="D17" s="319"/>
      <c r="E17" s="27"/>
      <c r="F17" s="27" t="s">
        <v>616</v>
      </c>
      <c r="G17" s="25"/>
    </row>
    <row r="18" spans="1:7" ht="117" customHeight="1">
      <c r="A18" s="308"/>
      <c r="B18" s="314">
        <v>2.02</v>
      </c>
      <c r="C18" s="305" t="s">
        <v>1084</v>
      </c>
      <c r="D18" s="317" t="s">
        <v>2247</v>
      </c>
      <c r="E18" s="164" t="s">
        <v>439</v>
      </c>
      <c r="F18" s="164" t="s">
        <v>525</v>
      </c>
      <c r="G18" s="25"/>
    </row>
    <row r="19" spans="1:7" ht="71.099999999999994" customHeight="1">
      <c r="A19" s="308"/>
      <c r="B19" s="315"/>
      <c r="C19" s="306"/>
      <c r="D19" s="318"/>
      <c r="E19" s="165" t="s">
        <v>529</v>
      </c>
      <c r="F19" s="165" t="s">
        <v>440</v>
      </c>
      <c r="G19" s="25"/>
    </row>
    <row r="20" spans="1:7" ht="90.75" customHeight="1">
      <c r="A20" s="308"/>
      <c r="B20" s="315"/>
      <c r="C20" s="306"/>
      <c r="D20" s="318"/>
      <c r="E20" s="165"/>
      <c r="F20" s="165" t="s">
        <v>619</v>
      </c>
      <c r="G20" s="25"/>
    </row>
    <row r="21" spans="1:7" ht="74.25" customHeight="1">
      <c r="A21" s="308"/>
      <c r="B21" s="316"/>
      <c r="C21" s="307"/>
      <c r="D21" s="319"/>
      <c r="E21" s="27"/>
      <c r="F21" s="27" t="s">
        <v>618</v>
      </c>
      <c r="G21" s="25"/>
    </row>
    <row r="22" spans="1:7" ht="90" customHeight="1">
      <c r="A22" s="308"/>
      <c r="B22" s="323">
        <v>2.0299999999999998</v>
      </c>
      <c r="C22" s="323" t="s">
        <v>818</v>
      </c>
      <c r="D22" s="302" t="s">
        <v>2248</v>
      </c>
      <c r="E22" s="305" t="s">
        <v>437</v>
      </c>
      <c r="F22" s="164" t="s">
        <v>460</v>
      </c>
      <c r="G22" s="25"/>
    </row>
    <row r="23" spans="1:7" ht="109.5" customHeight="1">
      <c r="A23" s="308"/>
      <c r="B23" s="324"/>
      <c r="C23" s="324"/>
      <c r="D23" s="303"/>
      <c r="E23" s="306"/>
      <c r="F23" s="165" t="s">
        <v>819</v>
      </c>
      <c r="G23" s="25"/>
    </row>
    <row r="24" spans="1:7" ht="74.25" customHeight="1">
      <c r="A24" s="308"/>
      <c r="B24" s="325"/>
      <c r="C24" s="325"/>
      <c r="D24" s="304"/>
      <c r="E24" s="307"/>
      <c r="F24" s="27" t="s">
        <v>436</v>
      </c>
      <c r="G24" s="25"/>
    </row>
    <row r="25" spans="1:7" ht="72" customHeight="1">
      <c r="A25" s="308"/>
      <c r="B25" s="2" t="s">
        <v>458</v>
      </c>
      <c r="C25" s="27" t="s">
        <v>459</v>
      </c>
      <c r="D25" s="28" t="s">
        <v>2249</v>
      </c>
      <c r="E25" s="27" t="s">
        <v>2244</v>
      </c>
      <c r="F25" s="27" t="s">
        <v>461</v>
      </c>
      <c r="G25" s="25"/>
    </row>
    <row r="26" spans="1:7" ht="98.1" customHeight="1">
      <c r="A26" s="308"/>
      <c r="B26" s="320">
        <v>3</v>
      </c>
      <c r="C26" s="314" t="s">
        <v>70</v>
      </c>
      <c r="D26" s="317" t="s">
        <v>2250</v>
      </c>
      <c r="E26" s="305" t="s">
        <v>0</v>
      </c>
      <c r="F26" s="164" t="s">
        <v>64</v>
      </c>
      <c r="G26" s="25"/>
    </row>
    <row r="27" spans="1:7" ht="90" customHeight="1">
      <c r="A27" s="308"/>
      <c r="B27" s="321"/>
      <c r="C27" s="315"/>
      <c r="D27" s="318"/>
      <c r="E27" s="306"/>
      <c r="F27" s="165" t="s">
        <v>59</v>
      </c>
      <c r="G27" s="25"/>
    </row>
    <row r="28" spans="1:7" ht="19.350000000000001" customHeight="1">
      <c r="A28" s="308"/>
      <c r="B28" s="321"/>
      <c r="C28" s="315"/>
      <c r="D28" s="318"/>
      <c r="E28" s="306"/>
      <c r="F28" s="165" t="s">
        <v>60</v>
      </c>
      <c r="G28" s="25"/>
    </row>
    <row r="29" spans="1:7" ht="74.650000000000006" customHeight="1">
      <c r="A29" s="308"/>
      <c r="B29" s="321"/>
      <c r="C29" s="315"/>
      <c r="D29" s="318"/>
      <c r="E29" s="306"/>
      <c r="F29" s="165" t="s">
        <v>61</v>
      </c>
      <c r="G29" s="25"/>
    </row>
    <row r="30" spans="1:7" ht="62.65" customHeight="1">
      <c r="A30" s="308"/>
      <c r="B30" s="321"/>
      <c r="C30" s="315"/>
      <c r="D30" s="318"/>
      <c r="E30" s="306"/>
      <c r="F30" s="165" t="s">
        <v>62</v>
      </c>
      <c r="G30" s="25"/>
    </row>
    <row r="31" spans="1:7" ht="81" customHeight="1">
      <c r="A31" s="308"/>
      <c r="B31" s="321"/>
      <c r="C31" s="315"/>
      <c r="D31" s="318"/>
      <c r="E31" s="306"/>
      <c r="F31" s="165" t="s">
        <v>63</v>
      </c>
      <c r="G31" s="25"/>
    </row>
    <row r="32" spans="1:7" ht="48.75" customHeight="1">
      <c r="A32" s="308"/>
      <c r="B32" s="321"/>
      <c r="C32" s="315"/>
      <c r="D32" s="318"/>
      <c r="E32" s="306"/>
      <c r="F32" s="165" t="s">
        <v>66</v>
      </c>
      <c r="G32" s="25"/>
    </row>
    <row r="33" spans="1:7" ht="98.65" customHeight="1">
      <c r="A33" s="308"/>
      <c r="B33" s="321"/>
      <c r="C33" s="315"/>
      <c r="D33" s="318"/>
      <c r="E33" s="306"/>
      <c r="F33" s="165" t="s">
        <v>65</v>
      </c>
      <c r="G33" s="25"/>
    </row>
    <row r="34" spans="1:7" ht="89.1" customHeight="1">
      <c r="A34" s="308"/>
      <c r="B34" s="321"/>
      <c r="C34" s="315"/>
      <c r="D34" s="318"/>
      <c r="E34" s="306"/>
      <c r="F34" s="165" t="s">
        <v>67</v>
      </c>
      <c r="G34" s="25"/>
    </row>
    <row r="35" spans="1:7" ht="29.1" customHeight="1">
      <c r="A35" s="308"/>
      <c r="B35" s="321"/>
      <c r="C35" s="315"/>
      <c r="D35" s="318"/>
      <c r="E35" s="306"/>
      <c r="F35" s="165" t="s">
        <v>68</v>
      </c>
      <c r="G35" s="25"/>
    </row>
    <row r="36" spans="1:7" ht="126.75">
      <c r="A36" s="308"/>
      <c r="B36" s="322"/>
      <c r="C36" s="316"/>
      <c r="D36" s="319"/>
      <c r="E36" s="307"/>
      <c r="F36" s="166" t="s">
        <v>69</v>
      </c>
      <c r="G36" s="25"/>
    </row>
    <row r="37" spans="1:7" ht="112.5">
      <c r="A37" s="308"/>
      <c r="B37" s="141">
        <v>3.01</v>
      </c>
      <c r="C37" s="142" t="s">
        <v>70</v>
      </c>
      <c r="D37" s="28" t="s">
        <v>2251</v>
      </c>
      <c r="E37" s="167" t="s">
        <v>1323</v>
      </c>
      <c r="F37" s="168" t="s">
        <v>1427</v>
      </c>
      <c r="G37" s="25"/>
    </row>
    <row r="38" spans="1:7" ht="101.25">
      <c r="A38" s="308"/>
      <c r="B38" s="141">
        <v>3.02</v>
      </c>
      <c r="C38" s="142" t="s">
        <v>1356</v>
      </c>
      <c r="D38" s="28" t="s">
        <v>2252</v>
      </c>
      <c r="E38" s="167" t="s">
        <v>1371</v>
      </c>
      <c r="F38" s="168" t="s">
        <v>1428</v>
      </c>
      <c r="G38" s="25"/>
    </row>
    <row r="39" spans="1:7" ht="101.25">
      <c r="A39" s="308"/>
      <c r="B39" s="150">
        <v>4</v>
      </c>
      <c r="C39" s="149" t="s">
        <v>1524</v>
      </c>
      <c r="D39" s="28" t="s">
        <v>2253</v>
      </c>
      <c r="E39" s="27" t="s">
        <v>2198</v>
      </c>
      <c r="F39" s="27" t="s">
        <v>1525</v>
      </c>
      <c r="G39" s="25"/>
    </row>
    <row r="40" spans="1:7" ht="56.25">
      <c r="A40" s="308"/>
      <c r="B40" s="141">
        <v>4.01</v>
      </c>
      <c r="C40" s="149" t="s">
        <v>1524</v>
      </c>
      <c r="D40" s="28" t="s">
        <v>2255</v>
      </c>
      <c r="E40" s="27" t="s">
        <v>2210</v>
      </c>
      <c r="F40" s="27" t="s">
        <v>2214</v>
      </c>
      <c r="G40" s="25"/>
    </row>
    <row r="41" spans="1:7" ht="56.25">
      <c r="A41" s="308"/>
      <c r="B41" s="141" t="s">
        <v>2242</v>
      </c>
      <c r="C41" s="149" t="s">
        <v>1524</v>
      </c>
      <c r="D41" s="28" t="s">
        <v>2254</v>
      </c>
      <c r="E41" s="27" t="s">
        <v>2245</v>
      </c>
      <c r="F41" s="27" t="s">
        <v>2243</v>
      </c>
      <c r="G41" s="25"/>
    </row>
    <row r="42" spans="1:7" ht="56.25">
      <c r="A42" s="308"/>
      <c r="B42" s="141" t="s">
        <v>2276</v>
      </c>
      <c r="C42" s="149" t="s">
        <v>1524</v>
      </c>
      <c r="D42" s="28" t="s">
        <v>2281</v>
      </c>
      <c r="E42" s="27" t="s">
        <v>2244</v>
      </c>
      <c r="F42" s="27" t="s">
        <v>2277</v>
      </c>
      <c r="G42" s="25"/>
    </row>
    <row r="43" spans="1:7" ht="123.75">
      <c r="A43" s="308"/>
      <c r="B43" s="160">
        <v>4.0999999999999996</v>
      </c>
      <c r="C43" s="149" t="s">
        <v>2280</v>
      </c>
      <c r="D43" s="161">
        <v>42867</v>
      </c>
      <c r="E43" s="169" t="s">
        <v>2283</v>
      </c>
      <c r="F43" s="27" t="s">
        <v>2282</v>
      </c>
      <c r="G43" s="25"/>
    </row>
    <row r="44" spans="1:7" ht="78.75">
      <c r="A44" s="308"/>
      <c r="B44" s="160">
        <v>4.2</v>
      </c>
      <c r="C44" s="149" t="s">
        <v>2280</v>
      </c>
      <c r="D44" s="161">
        <v>42704</v>
      </c>
      <c r="E44" s="169" t="s">
        <v>2479</v>
      </c>
      <c r="F44" s="27" t="s">
        <v>2454</v>
      </c>
      <c r="G44" s="25"/>
    </row>
    <row r="45" spans="1:7" ht="157.5">
      <c r="A45" s="308"/>
      <c r="B45" s="202">
        <v>5</v>
      </c>
      <c r="C45" s="149" t="s">
        <v>2280</v>
      </c>
      <c r="D45" s="161">
        <v>42867</v>
      </c>
      <c r="E45" s="169" t="s">
        <v>12705</v>
      </c>
      <c r="F45" s="27" t="s">
        <v>12427</v>
      </c>
      <c r="G45" s="25"/>
    </row>
    <row r="46" spans="1:7" ht="45">
      <c r="A46" s="308"/>
      <c r="B46" s="160">
        <v>5.01</v>
      </c>
      <c r="C46" s="149" t="s">
        <v>2280</v>
      </c>
      <c r="D46" s="161">
        <v>42907</v>
      </c>
      <c r="E46" s="169" t="s">
        <v>15521</v>
      </c>
      <c r="F46" s="27" t="s">
        <v>12427</v>
      </c>
      <c r="G46" s="25"/>
    </row>
    <row r="47" spans="1:7" ht="67.5">
      <c r="A47" s="308"/>
      <c r="B47" s="160">
        <v>5.0999999999999996</v>
      </c>
      <c r="C47" s="149" t="s">
        <v>2280</v>
      </c>
      <c r="D47" s="161">
        <v>43070</v>
      </c>
      <c r="E47" s="169" t="s">
        <v>12915</v>
      </c>
      <c r="F47" s="27" t="s">
        <v>12916</v>
      </c>
      <c r="G47" s="25"/>
    </row>
    <row r="48" spans="1:7" ht="56.25">
      <c r="A48" s="308"/>
      <c r="B48" s="160">
        <v>5.1100000000000003</v>
      </c>
      <c r="C48" s="149" t="s">
        <v>13152</v>
      </c>
      <c r="D48" s="161">
        <v>43217</v>
      </c>
      <c r="E48" s="169" t="s">
        <v>13278</v>
      </c>
      <c r="F48" s="27" t="s">
        <v>13186</v>
      </c>
      <c r="G48" s="25"/>
    </row>
    <row r="49" spans="1:7" ht="56.25">
      <c r="A49" s="308"/>
      <c r="B49" s="160">
        <v>5.12</v>
      </c>
      <c r="C49" s="149" t="s">
        <v>13152</v>
      </c>
      <c r="D49" s="161">
        <v>43581</v>
      </c>
      <c r="E49" s="169" t="s">
        <v>13278</v>
      </c>
      <c r="F49" s="27" t="s">
        <v>13832</v>
      </c>
      <c r="G49" s="25"/>
    </row>
    <row r="50" spans="1:7" ht="78.75">
      <c r="A50" s="308"/>
      <c r="B50" s="202">
        <v>6</v>
      </c>
      <c r="C50" s="149" t="s">
        <v>13152</v>
      </c>
      <c r="D50" s="161">
        <v>43964</v>
      </c>
      <c r="E50" s="169" t="s">
        <v>14048</v>
      </c>
      <c r="F50" s="27" t="s">
        <v>13835</v>
      </c>
      <c r="G50" s="25"/>
    </row>
    <row r="51" spans="1:7" ht="45">
      <c r="A51" s="308"/>
      <c r="B51" s="160">
        <v>6.01</v>
      </c>
      <c r="C51" s="149" t="s">
        <v>13152</v>
      </c>
      <c r="D51" s="161">
        <v>43970</v>
      </c>
      <c r="E51" s="169" t="s">
        <v>15522</v>
      </c>
      <c r="F51" s="169" t="s">
        <v>13835</v>
      </c>
      <c r="G51" s="25"/>
    </row>
    <row r="52" spans="1:7" ht="45">
      <c r="A52" s="308"/>
      <c r="B52" s="160">
        <v>6.1</v>
      </c>
      <c r="C52" s="149" t="s">
        <v>13152</v>
      </c>
      <c r="D52" s="161">
        <v>44314</v>
      </c>
      <c r="E52" s="169" t="s">
        <v>15514</v>
      </c>
      <c r="F52" s="169" t="s">
        <v>15043</v>
      </c>
      <c r="G52" s="25"/>
    </row>
    <row r="53" spans="1:7" ht="45">
      <c r="A53" s="308"/>
      <c r="B53" s="160">
        <v>6.2</v>
      </c>
      <c r="C53" s="149" t="s">
        <v>13152</v>
      </c>
      <c r="D53" s="161">
        <v>44678</v>
      </c>
      <c r="E53" s="169" t="s">
        <v>15514</v>
      </c>
      <c r="F53" s="169" t="s">
        <v>15513</v>
      </c>
      <c r="G53" s="25"/>
    </row>
    <row r="54" spans="1:7" ht="45">
      <c r="A54" s="308"/>
      <c r="B54" s="160">
        <v>6.21</v>
      </c>
      <c r="C54" s="149" t="s">
        <v>13152</v>
      </c>
      <c r="D54" s="161">
        <v>44687</v>
      </c>
      <c r="E54" s="169" t="s">
        <v>15523</v>
      </c>
      <c r="F54" s="169" t="s">
        <v>15513</v>
      </c>
      <c r="G54" s="25"/>
    </row>
    <row r="55" spans="1:7" ht="45">
      <c r="A55" s="308"/>
      <c r="B55" s="160">
        <v>6.22</v>
      </c>
      <c r="C55" s="149" t="s">
        <v>13152</v>
      </c>
      <c r="D55" s="274">
        <v>44692</v>
      </c>
      <c r="E55" s="169" t="s">
        <v>15522</v>
      </c>
      <c r="F55" s="169" t="s">
        <v>15513</v>
      </c>
      <c r="G55" s="25"/>
    </row>
    <row r="56" spans="1:7" ht="56.25">
      <c r="A56" s="308"/>
      <c r="B56" s="202">
        <v>6.3</v>
      </c>
      <c r="C56" s="149" t="s">
        <v>13152</v>
      </c>
      <c r="D56" s="274">
        <v>45051</v>
      </c>
      <c r="E56" s="169" t="s">
        <v>15790</v>
      </c>
      <c r="F56" s="169" t="s">
        <v>15571</v>
      </c>
      <c r="G56" s="25"/>
    </row>
    <row r="57" spans="1:7" ht="45">
      <c r="A57" s="308"/>
      <c r="B57" s="160">
        <v>6.31</v>
      </c>
      <c r="C57" s="149" t="s">
        <v>13152</v>
      </c>
      <c r="D57" s="274">
        <v>45072</v>
      </c>
      <c r="E57" s="169" t="s">
        <v>15792</v>
      </c>
      <c r="F57" s="169" t="s">
        <v>15571</v>
      </c>
      <c r="G57" s="25"/>
    </row>
    <row r="58" spans="1:7" ht="13.5" thickBot="1">
      <c r="A58" s="309"/>
      <c r="B58" s="310" t="str">
        <f ca="1">OFFSET(L!$C$1,MATCH("General"&amp;"Cpy",L!$A:$A,0)-1,SL,,)</f>
        <v>© 2023 Responsible Minerals Initiative. All rights reserved.</v>
      </c>
      <c r="C58" s="310"/>
      <c r="D58" s="310"/>
      <c r="E58" s="310"/>
      <c r="F58" s="310"/>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00000000-0000-0000-0000-000000000000}"/>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C13" sqref="C1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26"/>
      <c r="B1" s="327"/>
      <c r="C1" s="327"/>
      <c r="D1" s="328"/>
    </row>
    <row r="2" spans="1:5" ht="71.25" customHeight="1">
      <c r="A2" s="74"/>
      <c r="B2" s="137" t="str">
        <f ca="1">OFFSET(L!$C$1,MATCH("Definitions"&amp;ADDRESS(ROW(),COLUMN(),4),L!$A:$A,0)-1,SL,,)</f>
        <v>ITEM</v>
      </c>
      <c r="C2" s="137" t="str">
        <f ca="1">OFFSET(L!$C$1,MATCH("Definitions"&amp;ADDRESS(ROW(),COLUMN(),4),L!$A:$A,0)-1,SL,,)</f>
        <v>DEFINITION</v>
      </c>
      <c r="D2" s="330"/>
      <c r="E2" s="101"/>
    </row>
    <row r="3" spans="1:5" ht="64.150000000000006" customHeight="1">
      <c r="A3" s="74"/>
      <c r="B3" s="63" t="str">
        <f ca="1">OFFSET(L!$C$1,MATCH("Definitions"&amp;ADDRESS(ROW(),COLUMN(),4),L!$A:$A,0)-1,SL,,)</f>
        <v>3TG</v>
      </c>
      <c r="C3" s="63" t="str">
        <f ca="1">OFFSET(L!$C$1,MATCH("Definitions"&amp;ADDRESS(ROW(),COLUMN(),4),L!$A:$A,0)-1,SL,,)</f>
        <v>Tantalum, tin, tungsten, gold</v>
      </c>
      <c r="D3" s="330"/>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30"/>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30"/>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30"/>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30"/>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30"/>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30"/>
      <c r="E9" s="100" t="s">
        <v>1308</v>
      </c>
    </row>
    <row r="10" spans="1:5" ht="45">
      <c r="A10" s="74"/>
      <c r="B10" s="63" t="str">
        <f ca="1">OFFSET(L!$C$1,MATCH("Definitions"&amp;ADDRESS(ROW(),COLUMN(),4),L!$A:$A,0)-1,SL,,)</f>
        <v>DRC</v>
      </c>
      <c r="C10" s="63" t="str">
        <f ca="1">OFFSET(L!$C$1,MATCH("Definitions"&amp;ADDRESS(ROW(),COLUMN(),4),L!$A:$A,0)-1,SL,,)</f>
        <v>Democratic Republic of Congo</v>
      </c>
      <c r="D10" s="330"/>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30"/>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30"/>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30"/>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30"/>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30"/>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30"/>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30"/>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30"/>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30"/>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30"/>
      <c r="E20" s="100"/>
    </row>
    <row r="21" spans="1:5" ht="15">
      <c r="A21" s="74"/>
      <c r="B21" s="63" t="str">
        <f ca="1">OFFSET(L!$C$1,MATCH("Definitions"&amp;ADDRESS(ROW(),COLUMN(),4),L!$A:$A,0)-1,SL,,)</f>
        <v>RBA</v>
      </c>
      <c r="C21" s="63" t="str">
        <f ca="1">OFFSET(L!$C$1,MATCH("Definitions"&amp;ADDRESS(ROW(),COLUMN(),4),L!$A:$A,0)-1,SL,,)</f>
        <v>Responsible Business Alliance (www.responsiblebusiness.org)</v>
      </c>
      <c r="D21" s="33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30"/>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3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30"/>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30"/>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30"/>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30"/>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30"/>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30"/>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30"/>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30"/>
      <c r="E31" s="100"/>
    </row>
    <row r="32" spans="1:5" ht="15">
      <c r="A32" s="74"/>
      <c r="B32" s="329" t="str">
        <f ca="1">OFFSET(L!$C$1,MATCH("General"&amp;"Cpy",L!$A:$A,0)-1,SL,,)</f>
        <v>© 2023 Responsible Minerals Initiative. All rights reserved.</v>
      </c>
      <c r="C32" s="329"/>
      <c r="D32" s="330"/>
      <c r="E32" s="100"/>
    </row>
    <row r="33" spans="1:4" ht="13.5" thickBot="1">
      <c r="A33" s="75"/>
      <c r="B33" s="153"/>
      <c r="C33" s="153"/>
      <c r="D33" s="331"/>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zoomScalePageLayoutView="70" workbookViewId="0">
      <selection activeCell="G79" sqref="G79:J7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3"/>
      <c r="B1" s="354"/>
      <c r="C1" s="354"/>
      <c r="D1" s="354"/>
      <c r="E1" s="354"/>
      <c r="F1" s="354"/>
      <c r="G1" s="354"/>
      <c r="H1" s="354"/>
      <c r="I1" s="354"/>
      <c r="J1" s="354"/>
      <c r="K1" s="355"/>
      <c r="L1" s="100"/>
      <c r="P1" s="3"/>
      <c r="Q1" s="3"/>
      <c r="R1" s="3"/>
      <c r="S1" s="3"/>
      <c r="T1" s="3"/>
      <c r="U1" s="3"/>
      <c r="V1" s="3"/>
      <c r="W1" s="3"/>
      <c r="X1" s="3"/>
      <c r="Y1" s="3"/>
      <c r="Z1" s="3"/>
      <c r="AA1" s="3"/>
      <c r="AB1" s="3"/>
      <c r="AC1" s="3"/>
      <c r="AD1" s="3"/>
      <c r="AE1" s="3"/>
      <c r="AF1" s="3"/>
      <c r="AG1" s="3"/>
      <c r="AH1" s="3"/>
    </row>
    <row r="2" spans="1:34" ht="82.35" customHeight="1">
      <c r="A2" s="34"/>
      <c r="B2" s="136"/>
      <c r="C2" s="35"/>
      <c r="D2" s="356" t="str">
        <f ca="1">OFFSET(L!$C$1,MATCH("Declaration"&amp;ADDRESS(ROW(),COLUMN(),4),L!$A:$A,0)-1,SL,,)</f>
        <v>Conflict Minerals Reporting Template (CMRT)</v>
      </c>
      <c r="E2" s="357"/>
      <c r="F2" s="357"/>
      <c r="G2" s="357"/>
      <c r="H2" s="357"/>
      <c r="I2" s="357"/>
      <c r="J2" s="358"/>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66"/>
      <c r="G3" s="366"/>
      <c r="H3" s="366"/>
      <c r="I3" s="152"/>
      <c r="J3" s="138" t="s">
        <v>15794</v>
      </c>
      <c r="K3" s="36"/>
      <c r="L3" s="100"/>
      <c r="P3" s="45">
        <f>MATCH($D$3,LN,0)</f>
        <v>1</v>
      </c>
    </row>
    <row r="4" spans="1:34" ht="15.75">
      <c r="A4" s="34"/>
      <c r="B4" s="359" t="str">
        <f ca="1">OFFSET(L!$C$1,MATCH("Declaration"&amp;ADDRESS(ROW(),COLUMN(),4),L!$A:$A,0)-1,SL,,)</f>
        <v>The purpose of this document is to collect sourcing information on tin, tantalum, tungsten and gold used in products</v>
      </c>
      <c r="C4" s="359"/>
      <c r="D4" s="359"/>
      <c r="E4" s="359"/>
      <c r="F4" s="359"/>
      <c r="G4" s="359"/>
      <c r="H4" s="359"/>
      <c r="I4" s="367" t="str">
        <f ca="1">OFFSET(L!$C$1,MATCH("Declaration"&amp;ADDRESS(ROW(),COLUMN(),4),L!$A:$A,0)-1,SL,,)</f>
        <v>Link to Terms &amp; Conditions</v>
      </c>
      <c r="J4" s="367"/>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9" t="str">
        <f ca="1">OFFSET(L!$C$1,MATCH("Declaration"&amp;ADDRESS(ROW(),COLUMN(),4),L!$A:$A,0)-1,SL,,)</f>
        <v>Mandatory fields are noted with an asterisk (*).  Consult the instructions tab for guidance on how to answer each question.</v>
      </c>
      <c r="C6" s="359"/>
      <c r="D6" s="359"/>
      <c r="E6" s="359"/>
      <c r="F6" s="359"/>
      <c r="G6" s="359"/>
      <c r="H6" s="359"/>
      <c r="I6" s="359"/>
      <c r="J6" s="359"/>
      <c r="K6" s="36"/>
      <c r="L6" s="115" t="s">
        <v>443</v>
      </c>
      <c r="P6" s="3"/>
      <c r="Q6" s="3"/>
      <c r="R6" s="3"/>
      <c r="S6" s="3"/>
      <c r="T6" s="3"/>
      <c r="U6" s="3"/>
      <c r="V6" s="3"/>
      <c r="W6" s="3"/>
      <c r="X6" s="3"/>
      <c r="Y6" s="3"/>
      <c r="Z6" s="3"/>
      <c r="AA6" s="3"/>
      <c r="AB6" s="3"/>
      <c r="AC6" s="3"/>
      <c r="AD6" s="3"/>
      <c r="AE6" s="3"/>
      <c r="AF6" s="3"/>
      <c r="AG6" s="3"/>
      <c r="AH6" s="3"/>
    </row>
    <row r="7" spans="1:34" ht="37.15" customHeight="1">
      <c r="A7" s="34"/>
      <c r="B7" s="368" t="str">
        <f ca="1">OFFSET(L!$C$1,MATCH("Declaration"&amp;ADDRESS(ROW(),COLUMN(),4),L!$A:$A,0)-1,SL,,)</f>
        <v>Company Information</v>
      </c>
      <c r="C7" s="368"/>
      <c r="D7" s="368"/>
      <c r="E7" s="368"/>
      <c r="F7" s="368"/>
      <c r="G7" s="368"/>
      <c r="H7" s="368"/>
      <c r="I7" s="368"/>
      <c r="J7" s="368"/>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75" t="s">
        <v>15795</v>
      </c>
      <c r="E8" s="376"/>
      <c r="F8" s="376"/>
      <c r="G8" s="376"/>
      <c r="H8" s="376"/>
      <c r="I8" s="376"/>
      <c r="J8" s="377"/>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8" t="s">
        <v>494</v>
      </c>
      <c r="E9" s="379"/>
      <c r="F9" s="379"/>
      <c r="G9" s="380"/>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69" t="str">
        <f ca="1">OFFSET(L!$C$1,MATCH("Declaration"&amp;ADDRESS(ROW(),COLUMN(),4)&amp;LEFT($D$9,1),L!$A:$A,0)-1,SL,,)</f>
        <v>Description of Scope:</v>
      </c>
      <c r="C10" s="122"/>
      <c r="D10" s="360"/>
      <c r="E10" s="361"/>
      <c r="F10" s="361"/>
      <c r="G10" s="361"/>
      <c r="H10" s="361"/>
      <c r="I10" s="361"/>
      <c r="J10" s="362"/>
      <c r="K10" s="36"/>
      <c r="L10" s="115"/>
      <c r="Q10" s="3"/>
      <c r="R10" s="3"/>
      <c r="S10" s="3"/>
      <c r="T10" s="3"/>
      <c r="U10" s="3"/>
      <c r="V10" s="3"/>
      <c r="W10" s="3"/>
      <c r="X10" s="3"/>
      <c r="Y10" s="3"/>
      <c r="Z10" s="3"/>
      <c r="AA10" s="3"/>
      <c r="AB10" s="3"/>
      <c r="AC10" s="3"/>
      <c r="AD10" s="3"/>
      <c r="AE10" s="3"/>
      <c r="AF10" s="3"/>
      <c r="AG10" s="3"/>
      <c r="AH10" s="3"/>
    </row>
    <row r="11" spans="1:34" ht="15.75">
      <c r="A11" s="38"/>
      <c r="B11" s="370"/>
      <c r="C11" s="122"/>
      <c r="D11" s="371" t="str">
        <f ca="1">IF(D9=Q9,OFFSET(L!$C$1,MATCH("Declaration"&amp;ADDRESS(ROW(),COLUMN(),4),L!$A:$A,0)-1,SL,,),"")</f>
        <v/>
      </c>
      <c r="E11" s="372"/>
      <c r="F11" s="372"/>
      <c r="G11" s="372"/>
      <c r="H11" s="372"/>
      <c r="I11" s="372"/>
      <c r="J11" s="373"/>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63" t="s">
        <v>15796</v>
      </c>
      <c r="E12" s="364"/>
      <c r="F12" s="364"/>
      <c r="G12" s="364"/>
      <c r="H12" s="364"/>
      <c r="I12" s="364"/>
      <c r="J12" s="365"/>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63"/>
      <c r="E13" s="364"/>
      <c r="F13" s="364"/>
      <c r="G13" s="364"/>
      <c r="H13" s="364"/>
      <c r="I13" s="364"/>
      <c r="J13" s="365"/>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81" t="s">
        <v>15797</v>
      </c>
      <c r="E14" s="382"/>
      <c r="F14" s="382"/>
      <c r="G14" s="382"/>
      <c r="H14" s="382"/>
      <c r="I14" s="382"/>
      <c r="J14" s="38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63" t="s">
        <v>15798</v>
      </c>
      <c r="E15" s="364"/>
      <c r="F15" s="364"/>
      <c r="G15" s="364"/>
      <c r="H15" s="364"/>
      <c r="I15" s="364"/>
      <c r="J15" s="365"/>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83" t="s">
        <v>15799</v>
      </c>
      <c r="E16" s="384"/>
      <c r="F16" s="384"/>
      <c r="G16" s="384"/>
      <c r="H16" s="384"/>
      <c r="I16" s="384"/>
      <c r="J16" s="384"/>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63" t="s">
        <v>15800</v>
      </c>
      <c r="E17" s="364"/>
      <c r="F17" s="364"/>
      <c r="G17" s="364"/>
      <c r="H17" s="364"/>
      <c r="I17" s="364"/>
      <c r="J17" s="365"/>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1" t="s">
        <v>15801</v>
      </c>
      <c r="E18" s="382"/>
      <c r="F18" s="382"/>
      <c r="G18" s="382"/>
      <c r="H18" s="382"/>
      <c r="I18" s="382"/>
      <c r="J18" s="382"/>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81" t="s">
        <v>15802</v>
      </c>
      <c r="E19" s="382"/>
      <c r="F19" s="382"/>
      <c r="G19" s="382"/>
      <c r="H19" s="382"/>
      <c r="I19" s="382"/>
      <c r="J19" s="38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87" t="s">
        <v>15803</v>
      </c>
      <c r="E20" s="388"/>
      <c r="F20" s="388"/>
      <c r="G20" s="388"/>
      <c r="H20" s="388"/>
      <c r="I20" s="388"/>
      <c r="J20" s="389"/>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90" t="s">
        <v>15804</v>
      </c>
      <c r="E21" s="391"/>
      <c r="F21" s="391"/>
      <c r="G21" s="391"/>
      <c r="H21" s="391"/>
      <c r="I21" s="391"/>
      <c r="J21" s="392"/>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93">
        <v>45323</v>
      </c>
      <c r="E22" s="394"/>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4"/>
      <c r="E23" s="374"/>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95" t="str">
        <f ca="1">OFFSET(L!$C$1,MATCH("Declaration"&amp;ADDRESS(ROW(),COLUMN(),4),L!$A:$A,0)-1,SL,,)</f>
        <v>Answer the following questions 1 - 8 based on the declaration scope indicated above</v>
      </c>
      <c r="C24" s="395"/>
      <c r="D24" s="395"/>
      <c r="E24" s="395"/>
      <c r="F24" s="395"/>
      <c r="G24" s="395"/>
      <c r="H24" s="395"/>
      <c r="I24" s="395"/>
      <c r="J24" s="395"/>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8" t="str">
        <f ca="1">OFFSET(L!$C$1,MATCH("Declaration"&amp;ADDRESS(ROW(),COLUMN(),4),L!$A:$A,0)-1,SL,,)</f>
        <v>Answer</v>
      </c>
      <c r="E25" s="338"/>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35" t="s">
        <v>488</v>
      </c>
      <c r="E26" s="336"/>
      <c r="F26" s="12"/>
      <c r="G26" s="332"/>
      <c r="H26" s="333"/>
      <c r="I26" s="333"/>
      <c r="J26" s="334"/>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35" t="s">
        <v>488</v>
      </c>
      <c r="E27" s="336"/>
      <c r="F27" s="12"/>
      <c r="G27" s="332"/>
      <c r="H27" s="333"/>
      <c r="I27" s="333"/>
      <c r="J27" s="334"/>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35" t="s">
        <v>488</v>
      </c>
      <c r="E28" s="336"/>
      <c r="F28" s="12"/>
      <c r="G28" s="332"/>
      <c r="H28" s="333"/>
      <c r="I28" s="333"/>
      <c r="J28" s="334"/>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35" t="s">
        <v>488</v>
      </c>
      <c r="E29" s="336"/>
      <c r="F29" s="12"/>
      <c r="G29" s="332"/>
      <c r="H29" s="333"/>
      <c r="I29" s="333"/>
      <c r="J29" s="334"/>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48" t="str">
        <f ca="1">D25</f>
        <v>Answer</v>
      </c>
      <c r="E31" s="348"/>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9" t="s">
        <v>488</v>
      </c>
      <c r="E32" s="350"/>
      <c r="F32" s="47"/>
      <c r="G32" s="332"/>
      <c r="H32" s="333"/>
      <c r="I32" s="333"/>
      <c r="J32" s="334"/>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35" t="s">
        <v>488</v>
      </c>
      <c r="E33" s="336"/>
      <c r="F33" s="47"/>
      <c r="G33" s="332"/>
      <c r="H33" s="333"/>
      <c r="I33" s="333"/>
      <c r="J33" s="334"/>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35" t="s">
        <v>488</v>
      </c>
      <c r="E34" s="336"/>
      <c r="F34" s="47"/>
      <c r="G34" s="332"/>
      <c r="H34" s="333"/>
      <c r="I34" s="333"/>
      <c r="J34" s="334"/>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35" t="s">
        <v>488</v>
      </c>
      <c r="E35" s="336"/>
      <c r="F35" s="47"/>
      <c r="G35" s="332"/>
      <c r="H35" s="333"/>
      <c r="I35" s="333"/>
      <c r="J35" s="334"/>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48" t="str">
        <f ca="1">D25</f>
        <v>Answer</v>
      </c>
      <c r="E37" s="348"/>
      <c r="F37" s="18"/>
      <c r="G37" s="44" t="str">
        <f ca="1">G25</f>
        <v>Comments</v>
      </c>
      <c r="H37" s="352"/>
      <c r="I37" s="352"/>
      <c r="J37" s="352"/>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35" t="s">
        <v>489</v>
      </c>
      <c r="E38" s="336"/>
      <c r="F38" s="47"/>
      <c r="G38" s="332"/>
      <c r="H38" s="333"/>
      <c r="I38" s="333"/>
      <c r="J38" s="334"/>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35" t="s">
        <v>489</v>
      </c>
      <c r="E39" s="336"/>
      <c r="F39" s="47"/>
      <c r="G39" s="332"/>
      <c r="H39" s="333"/>
      <c r="I39" s="333"/>
      <c r="J39" s="334"/>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35" t="s">
        <v>489</v>
      </c>
      <c r="E40" s="336"/>
      <c r="F40" s="47"/>
      <c r="G40" s="332"/>
      <c r="H40" s="333"/>
      <c r="I40" s="333"/>
      <c r="J40" s="334"/>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35" t="s">
        <v>489</v>
      </c>
      <c r="E41" s="336"/>
      <c r="F41" s="47"/>
      <c r="G41" s="332"/>
      <c r="H41" s="333"/>
      <c r="I41" s="333"/>
      <c r="J41" s="334"/>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48" t="str">
        <f ca="1">D25</f>
        <v>Answer</v>
      </c>
      <c r="E43" s="348"/>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35" t="s">
        <v>489</v>
      </c>
      <c r="E44" s="336"/>
      <c r="F44" s="47"/>
      <c r="G44" s="332"/>
      <c r="H44" s="333"/>
      <c r="I44" s="333"/>
      <c r="J44" s="334"/>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35" t="s">
        <v>489</v>
      </c>
      <c r="E45" s="336"/>
      <c r="F45" s="47"/>
      <c r="G45" s="332"/>
      <c r="H45" s="333"/>
      <c r="I45" s="333"/>
      <c r="J45" s="334"/>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35" t="s">
        <v>489</v>
      </c>
      <c r="E46" s="336"/>
      <c r="F46" s="47"/>
      <c r="G46" s="332"/>
      <c r="H46" s="333"/>
      <c r="I46" s="333"/>
      <c r="J46" s="334"/>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35" t="s">
        <v>489</v>
      </c>
      <c r="E47" s="336"/>
      <c r="F47" s="47"/>
      <c r="G47" s="332"/>
      <c r="H47" s="333"/>
      <c r="I47" s="333"/>
      <c r="J47" s="334"/>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48" t="str">
        <f ca="1">D25</f>
        <v>Answer</v>
      </c>
      <c r="E49" s="348"/>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35" t="s">
        <v>489</v>
      </c>
      <c r="E50" s="336"/>
      <c r="F50" s="47"/>
      <c r="G50" s="332"/>
      <c r="H50" s="333"/>
      <c r="I50" s="333"/>
      <c r="J50" s="334"/>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35" t="s">
        <v>489</v>
      </c>
      <c r="E51" s="336"/>
      <c r="F51" s="47"/>
      <c r="G51" s="332"/>
      <c r="H51" s="333"/>
      <c r="I51" s="333"/>
      <c r="J51" s="334"/>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35" t="s">
        <v>489</v>
      </c>
      <c r="E52" s="336"/>
      <c r="F52" s="47"/>
      <c r="G52" s="332"/>
      <c r="H52" s="333"/>
      <c r="I52" s="333"/>
      <c r="J52" s="334"/>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35" t="s">
        <v>489</v>
      </c>
      <c r="E53" s="336"/>
      <c r="F53" s="47"/>
      <c r="G53" s="332"/>
      <c r="H53" s="333"/>
      <c r="I53" s="333"/>
      <c r="J53" s="334"/>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48" t="str">
        <f ca="1">D25</f>
        <v>Answer</v>
      </c>
      <c r="E55" s="348"/>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6" t="s">
        <v>15805</v>
      </c>
      <c r="E56" s="347"/>
      <c r="F56" s="47"/>
      <c r="G56" s="332"/>
      <c r="H56" s="333"/>
      <c r="I56" s="333"/>
      <c r="J56" s="334"/>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6" t="s">
        <v>15805</v>
      </c>
      <c r="E57" s="347"/>
      <c r="F57" s="47"/>
      <c r="G57" s="332"/>
      <c r="H57" s="333"/>
      <c r="I57" s="333"/>
      <c r="J57" s="334"/>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6" t="s">
        <v>15805</v>
      </c>
      <c r="E58" s="347"/>
      <c r="F58" s="47"/>
      <c r="G58" s="332"/>
      <c r="H58" s="333"/>
      <c r="I58" s="333"/>
      <c r="J58" s="334"/>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6" t="s">
        <v>15805</v>
      </c>
      <c r="E59" s="347"/>
      <c r="F59" s="47"/>
      <c r="G59" s="332"/>
      <c r="H59" s="333"/>
      <c r="I59" s="333"/>
      <c r="J59" s="334"/>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48" t="str">
        <f ca="1">D25</f>
        <v>Answer</v>
      </c>
      <c r="E61" s="348"/>
      <c r="F61" s="18"/>
      <c r="G61" s="44" t="str">
        <f ca="1">G25</f>
        <v>Comments</v>
      </c>
      <c r="H61" s="351"/>
      <c r="I61" s="351"/>
      <c r="J61" s="351"/>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9" t="s">
        <v>488</v>
      </c>
      <c r="E62" s="350"/>
      <c r="F62" s="47"/>
      <c r="G62" s="332" t="s">
        <v>15806</v>
      </c>
      <c r="H62" s="333"/>
      <c r="I62" s="333"/>
      <c r="J62" s="334"/>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35" t="s">
        <v>488</v>
      </c>
      <c r="E63" s="336"/>
      <c r="F63" s="47"/>
      <c r="G63" s="332" t="s">
        <v>15806</v>
      </c>
      <c r="H63" s="333"/>
      <c r="I63" s="333"/>
      <c r="J63" s="334"/>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35" t="s">
        <v>488</v>
      </c>
      <c r="E64" s="336"/>
      <c r="F64" s="47"/>
      <c r="G64" s="332" t="s">
        <v>15806</v>
      </c>
      <c r="H64" s="333"/>
      <c r="I64" s="333"/>
      <c r="J64" s="334"/>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35" t="s">
        <v>488</v>
      </c>
      <c r="E65" s="336"/>
      <c r="F65" s="47"/>
      <c r="G65" s="332" t="s">
        <v>15806</v>
      </c>
      <c r="H65" s="333"/>
      <c r="I65" s="333"/>
      <c r="J65" s="334"/>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48" t="str">
        <f ca="1">D25</f>
        <v>Answer</v>
      </c>
      <c r="E67" s="348"/>
      <c r="F67" s="18"/>
      <c r="G67" s="44" t="str">
        <f ca="1">G25</f>
        <v>Comments</v>
      </c>
      <c r="H67" s="351" t="str">
        <f>IF(Q75="(*)","Click here to enter smelter names","")</f>
        <v/>
      </c>
      <c r="I67" s="351"/>
      <c r="J67" s="351"/>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35" t="s">
        <v>488</v>
      </c>
      <c r="E68" s="336"/>
      <c r="F68" s="48"/>
      <c r="G68" s="332" t="s">
        <v>15806</v>
      </c>
      <c r="H68" s="333"/>
      <c r="I68" s="333"/>
      <c r="J68" s="334"/>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35" t="s">
        <v>488</v>
      </c>
      <c r="E69" s="336"/>
      <c r="F69" s="48"/>
      <c r="G69" s="332" t="s">
        <v>15806</v>
      </c>
      <c r="H69" s="333"/>
      <c r="I69" s="333"/>
      <c r="J69" s="334"/>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35" t="s">
        <v>488</v>
      </c>
      <c r="E70" s="336"/>
      <c r="F70" s="48"/>
      <c r="G70" s="332" t="s">
        <v>15806</v>
      </c>
      <c r="H70" s="333"/>
      <c r="I70" s="333"/>
      <c r="J70" s="334"/>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35" t="s">
        <v>488</v>
      </c>
      <c r="E71" s="336"/>
      <c r="F71" s="50"/>
      <c r="G71" s="332" t="s">
        <v>15806</v>
      </c>
      <c r="H71" s="333"/>
      <c r="I71" s="333"/>
      <c r="J71" s="334"/>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7" t="str">
        <f ca="1">OFFSET(L!$C$1,MATCH("Declaration"&amp;ADDRESS(ROW(),COLUMN(),4),L!$A:$A,0)-1,SL,,)</f>
        <v>Answer the Following Questions at a Company Level</v>
      </c>
      <c r="C73" s="337"/>
      <c r="D73" s="337"/>
      <c r="E73" s="337"/>
      <c r="F73" s="337"/>
      <c r="G73" s="337"/>
      <c r="H73" s="337"/>
      <c r="I73" s="337"/>
      <c r="J73" s="337"/>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8" t="str">
        <f ca="1">D25</f>
        <v>Answer</v>
      </c>
      <c r="E74" s="338"/>
      <c r="F74" s="53"/>
      <c r="G74" s="338" t="str">
        <f ca="1">G25</f>
        <v>Comments</v>
      </c>
      <c r="H74" s="338" t="e">
        <f>HLOOKUP(SL,LT,$O74,0)</f>
        <v>#NAME?</v>
      </c>
      <c r="I74" s="338"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35" t="s">
        <v>488</v>
      </c>
      <c r="E75" s="336"/>
      <c r="F75" s="57"/>
      <c r="G75" s="332"/>
      <c r="H75" s="333"/>
      <c r="I75" s="333"/>
      <c r="J75" s="334"/>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9"/>
      <c r="H76" s="339"/>
      <c r="I76" s="339"/>
      <c r="J76" s="339"/>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35" t="s">
        <v>488</v>
      </c>
      <c r="E77" s="336"/>
      <c r="F77" s="57"/>
      <c r="G77" s="385" t="s">
        <v>15807</v>
      </c>
      <c r="H77" s="386"/>
      <c r="I77" s="386"/>
      <c r="J77" s="386"/>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35" t="s">
        <v>488</v>
      </c>
      <c r="E79" s="336"/>
      <c r="F79" s="57"/>
      <c r="G79" s="332"/>
      <c r="H79" s="333"/>
      <c r="I79" s="333"/>
      <c r="J79" s="334"/>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35" t="s">
        <v>488</v>
      </c>
      <c r="E81" s="336"/>
      <c r="F81" s="57"/>
      <c r="G81" s="332"/>
      <c r="H81" s="333"/>
      <c r="I81" s="333"/>
      <c r="J81" s="334"/>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35" t="s">
        <v>14982</v>
      </c>
      <c r="E83" s="336"/>
      <c r="F83" s="57"/>
      <c r="G83" s="332"/>
      <c r="H83" s="333"/>
      <c r="I83" s="333"/>
      <c r="J83" s="334"/>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43" t="s">
        <v>488</v>
      </c>
      <c r="E85" s="344"/>
      <c r="F85" s="57"/>
      <c r="G85" s="332"/>
      <c r="H85" s="333"/>
      <c r="I85" s="333"/>
      <c r="J85" s="334"/>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9"/>
      <c r="H86" s="339"/>
      <c r="I86" s="339"/>
      <c r="J86" s="339"/>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35" t="s">
        <v>488</v>
      </c>
      <c r="E87" s="336"/>
      <c r="F87" s="57"/>
      <c r="G87" s="332"/>
      <c r="H87" s="333"/>
      <c r="I87" s="333"/>
      <c r="J87" s="334"/>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5"/>
      <c r="H88" s="345"/>
      <c r="I88" s="345"/>
      <c r="J88" s="345"/>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35" t="s">
        <v>489</v>
      </c>
      <c r="E89" s="336"/>
      <c r="F89" s="57"/>
      <c r="G89" s="332"/>
      <c r="H89" s="333"/>
      <c r="I89" s="333"/>
      <c r="J89" s="334"/>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42" t="str">
        <f>IF(OR($D$8="",$I$3=""),"","Click here to check required fields completion")</f>
        <v/>
      </c>
      <c r="C90" s="342"/>
      <c r="D90" s="342"/>
      <c r="E90" s="342"/>
      <c r="F90" s="342"/>
      <c r="G90" s="342"/>
      <c r="H90" s="342"/>
      <c r="I90" s="342"/>
      <c r="J90" s="342"/>
      <c r="K90" s="36"/>
      <c r="L90" s="100"/>
      <c r="P90" s="3"/>
      <c r="Q90" s="3"/>
      <c r="R90" s="3"/>
      <c r="S90" s="3"/>
      <c r="T90" s="3"/>
      <c r="U90" s="3"/>
      <c r="V90" s="3"/>
      <c r="W90" s="3"/>
      <c r="X90" s="3"/>
      <c r="Y90" s="3"/>
      <c r="Z90" s="3"/>
      <c r="AA90" s="3"/>
      <c r="AB90" s="3"/>
      <c r="AC90" s="3"/>
      <c r="AD90" s="3"/>
      <c r="AE90" s="3"/>
      <c r="AF90" s="3"/>
      <c r="AG90" s="3"/>
      <c r="AH90" s="3"/>
    </row>
    <row r="91" spans="1:34" ht="15.75" thickBot="1">
      <c r="A91" s="340" t="str">
        <f ca="1">OFFSET(L!$C$1,MATCH("General"&amp;"Cpy",L!$A:$A,0)-1,SL,,)</f>
        <v>© 2023 Responsible Minerals Initiative. All rights reserved.</v>
      </c>
      <c r="B91" s="341"/>
      <c r="C91" s="341"/>
      <c r="D91" s="341"/>
      <c r="E91" s="341"/>
      <c r="F91" s="341"/>
      <c r="G91" s="341"/>
      <c r="H91" s="341"/>
      <c r="I91" s="341"/>
      <c r="J91" s="341"/>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1" t="str">
        <f>IF(AND(OR($D$26="Yes",$D$26=""),OR($D$32="Yes",$D$32="")),"Yes","")</f>
        <v>Yes</v>
      </c>
      <c r="E96" s="281" t="str">
        <f>IF(AND(OR($D$26="Yes",$D$26=""),OR($D$32="Yes",$D$32="")),"100%","")</f>
        <v>100%</v>
      </c>
      <c r="G96" s="281" t="str">
        <f>IF(OR($D$26="Yes",$D$26=""),"Yes","")</f>
        <v>Yes</v>
      </c>
    </row>
    <row r="97" spans="2:7" ht="13.5" hidden="1" customHeight="1">
      <c r="B97" s="56" t="s">
        <v>489</v>
      </c>
      <c r="D97" s="281" t="str">
        <f>IF(AND(OR($D$26="Yes",$D$26=""),OR($D$32="Yes",$D$32="")),"No","")</f>
        <v>No</v>
      </c>
      <c r="E97" s="281" t="str">
        <f>IF(AND(OR($D$26="Yes",$D$26=""),OR($D$32="Yes",$D$32="")),"Greater than 90%","")</f>
        <v>Greater than 90%</v>
      </c>
      <c r="G97" s="281" t="str">
        <f>IF(OR($D$26="Yes",$D$26=""),"No","")</f>
        <v>No</v>
      </c>
    </row>
    <row r="98" spans="2:7" ht="15.75" hidden="1">
      <c r="B98" s="56" t="s">
        <v>490</v>
      </c>
      <c r="D98" s="281" t="str">
        <f>IF(AND(OR($D$26="Yes",$D$26=""),OR($D$32="Yes",$D$32="")),"Unknown","")</f>
        <v>Unknown</v>
      </c>
      <c r="E98" s="281" t="str">
        <f>IF(AND(OR($D$26="Yes",$D$26=""),OR($D$32="Yes",$D$32="")),"Greater than 75%","")</f>
        <v>Greater than 75%</v>
      </c>
      <c r="G98" s="281" t="str">
        <f>IF(OR($D$27="Yes",$D$27=""),"Yes","")</f>
        <v>Yes</v>
      </c>
    </row>
    <row r="99" spans="2:7" ht="15.75" hidden="1">
      <c r="B99" s="188">
        <v>1</v>
      </c>
      <c r="D99" s="281" t="str">
        <f>IF(AND(OR($D$27="Yes",$D$27=""),OR($D$33="Yes",$D$33="")),"Yes","")</f>
        <v>Yes</v>
      </c>
      <c r="E99" s="281" t="str">
        <f>IF(AND(OR($D$26="Yes",$D$26=""),OR($D$32="Yes",$D$32="")),"Greater than 50%","")</f>
        <v>Greater than 50%</v>
      </c>
      <c r="G99" s="281" t="str">
        <f>IF(OR($D$27="Yes",$D$27=""),"No","")</f>
        <v>No</v>
      </c>
    </row>
    <row r="100" spans="2:7" ht="15.75" hidden="1">
      <c r="B100" s="236" t="s">
        <v>2480</v>
      </c>
      <c r="D100" s="281" t="str">
        <f>IF(AND(OR($D$27="Yes",$D$27=""),OR($D$33="Yes",$D$33="")),"No","")</f>
        <v>No</v>
      </c>
      <c r="E100" s="281" t="str">
        <f>IF(AND(OR($D$26="Yes",$D$26=""),OR($D$32="Yes",$D$32="")),"50% or less","")</f>
        <v>50% or less</v>
      </c>
      <c r="G100" s="281" t="str">
        <f>IF(OR($D$28="Yes",$D$28=""),"Yes","")</f>
        <v>Yes</v>
      </c>
    </row>
    <row r="101" spans="2:7" ht="15.75" hidden="1">
      <c r="B101" s="236" t="s">
        <v>2481</v>
      </c>
      <c r="D101" s="281" t="str">
        <f>IF(AND(OR($D$27="Yes",$D$27=""),OR($D$33="Yes",$D$33="")),"Unknown","")</f>
        <v>Unknown</v>
      </c>
      <c r="E101" s="281" t="str">
        <f>IF(AND(OR($D$26="Yes",$D$26=""),OR($D$32="Yes",$D$32="")),"None","")</f>
        <v>None</v>
      </c>
      <c r="G101" s="281" t="str">
        <f>IF(OR($D$28="Yes",$D$28=""),"No","")</f>
        <v>No</v>
      </c>
    </row>
    <row r="102" spans="2:7" ht="15.75" hidden="1">
      <c r="B102" s="236" t="s">
        <v>2482</v>
      </c>
      <c r="D102" s="281" t="str">
        <f>IF(AND(OR($D$28="Yes",$D$28=""),OR($D$34="Yes",$D$34="")),"Yes","")</f>
        <v>Yes</v>
      </c>
      <c r="E102" s="281" t="str">
        <f>IF(AND(OR($D$27="Yes",$D$27=""),OR($D$33="Yes",$D$33="")),"100%","")</f>
        <v>100%</v>
      </c>
      <c r="G102" s="281" t="str">
        <f>IF(OR($D$29="Yes",$D$29=""),"Yes","")</f>
        <v>Yes</v>
      </c>
    </row>
    <row r="103" spans="2:7" ht="15.75" hidden="1">
      <c r="B103" s="236" t="s">
        <v>2483</v>
      </c>
      <c r="D103" s="281" t="str">
        <f>IF(AND(OR($D$28="Yes",$D$28=""),OR($D$34="Yes",$D$34="")),"No","")</f>
        <v>No</v>
      </c>
      <c r="E103" s="281" t="str">
        <f>IF(AND(OR($D$27="Yes",$D$27=""),OR($D$33="Yes",$D$33="")),"Greater than 90%","")</f>
        <v>Greater than 90%</v>
      </c>
      <c r="G103" s="281" t="str">
        <f>IF(OR($D$29="Yes",$D$29=""),"No","")</f>
        <v>No</v>
      </c>
    </row>
    <row r="104" spans="2:7" ht="15.75" hidden="1">
      <c r="B104" s="236" t="s">
        <v>491</v>
      </c>
      <c r="D104" s="281" t="str">
        <f>IF(AND(OR($D$28="Yes",$D$28=""),OR($D$34="Yes",$D$34="")),"Unknown","")</f>
        <v>Unknown</v>
      </c>
      <c r="E104" s="281" t="str">
        <f>IF(AND(OR($D$27="Yes",$D$27=""),OR($D$33="Yes",$D$33="")),"Greater than 75%","")</f>
        <v>Greater than 75%</v>
      </c>
    </row>
    <row r="105" spans="2:7" ht="15.75" hidden="1">
      <c r="B105" s="236" t="s">
        <v>14982</v>
      </c>
      <c r="D105" s="281" t="str">
        <f>IF(AND(OR($D$29="Yes",$D$29=""),OR($D$35="Yes",$D$35="")),"Yes","")</f>
        <v>Yes</v>
      </c>
      <c r="E105" s="281" t="str">
        <f>IF(AND(OR($D$27="Yes",$D$27=""),OR($D$33="Yes",$D$33="")),"Greater than 50%","")</f>
        <v>Greater than 50%</v>
      </c>
    </row>
    <row r="106" spans="2:7" ht="15.75" hidden="1">
      <c r="B106" s="236" t="s">
        <v>12394</v>
      </c>
      <c r="D106" s="281" t="str">
        <f>IF(AND(OR($D$29="Yes",$D$29=""),OR($D$35="Yes",$D$35="")),"No","")</f>
        <v>No</v>
      </c>
      <c r="E106" s="281" t="str">
        <f>IF(AND(OR($D$27="Yes",$D$27=""),OR($D$33="Yes",$D$33="")),"50% or less","")</f>
        <v>50% or less</v>
      </c>
    </row>
    <row r="107" spans="2:7" ht="15.75" hidden="1">
      <c r="B107" s="236" t="s">
        <v>489</v>
      </c>
      <c r="D107" s="281" t="str">
        <f>IF(AND(OR($D$29="Yes",$D$29=""),OR($D$35="Yes",$D$35="")),"Unknown","")</f>
        <v>Unknown</v>
      </c>
      <c r="E107" s="281" t="str">
        <f>IF(AND(OR($D$27="Yes",$D$27=""),OR($D$33="Yes",$D$33="")),"None","")</f>
        <v>None</v>
      </c>
    </row>
    <row r="108" spans="2:7" ht="15.75" hidden="1">
      <c r="B108" s="236" t="s">
        <v>13974</v>
      </c>
      <c r="E108" s="281" t="str">
        <f>IF(AND(OR($D$28="Yes",$D$28=""),OR($D$34="Yes",$D$34="")),"100%","")</f>
        <v>100%</v>
      </c>
    </row>
    <row r="109" spans="2:7" ht="15.75" hidden="1">
      <c r="B109" s="236" t="s">
        <v>13976</v>
      </c>
      <c r="E109" s="281" t="str">
        <f>IF(AND(OR($D$28="Yes",$D$28=""),OR($D$34="Yes",$D$34="")),"Greater than 90%","")</f>
        <v>Greater than 90%</v>
      </c>
    </row>
    <row r="110" spans="2:7" ht="15.75" hidden="1">
      <c r="B110" s="236" t="s">
        <v>13977</v>
      </c>
      <c r="E110" s="281" t="str">
        <f>IF(AND(OR($D$28="Yes",$D$28=""),OR($D$34="Yes",$D$34="")),"Greater than 75%","")</f>
        <v>Greater than 75%</v>
      </c>
    </row>
    <row r="111" spans="2:7" ht="15.75" hidden="1">
      <c r="B111" s="236" t="s">
        <v>489</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G71:J71"/>
    <mergeCell ref="G77:J77"/>
    <mergeCell ref="D20:J20"/>
    <mergeCell ref="D21:J21"/>
    <mergeCell ref="G62:J62"/>
    <mergeCell ref="G63:J63"/>
    <mergeCell ref="G64:J64"/>
    <mergeCell ref="G65:J65"/>
    <mergeCell ref="G68:J68"/>
    <mergeCell ref="G69:J69"/>
    <mergeCell ref="G70:J70"/>
    <mergeCell ref="D26:E26"/>
    <mergeCell ref="D27:E27"/>
    <mergeCell ref="D22:E22"/>
    <mergeCell ref="B24:J24"/>
    <mergeCell ref="D31:E31"/>
    <mergeCell ref="D50:E50"/>
    <mergeCell ref="D37:E37"/>
    <mergeCell ref="D32:E32"/>
    <mergeCell ref="D43:E43"/>
    <mergeCell ref="D44:E44"/>
    <mergeCell ref="G44:J44"/>
    <mergeCell ref="D45:E45"/>
    <mergeCell ref="G45:J45"/>
    <mergeCell ref="D25:E25"/>
    <mergeCell ref="A1:K1"/>
    <mergeCell ref="D2:J2"/>
    <mergeCell ref="B4:H4"/>
    <mergeCell ref="D10:J10"/>
    <mergeCell ref="D13:J13"/>
    <mergeCell ref="F3:H3"/>
    <mergeCell ref="I4:J4"/>
    <mergeCell ref="B7:J7"/>
    <mergeCell ref="B10:B11"/>
    <mergeCell ref="B6:J6"/>
    <mergeCell ref="D11:J11"/>
    <mergeCell ref="D23:E23"/>
    <mergeCell ref="D8:J8"/>
    <mergeCell ref="D9:G9"/>
    <mergeCell ref="D12:J12"/>
    <mergeCell ref="D14:J14"/>
    <mergeCell ref="D15:J15"/>
    <mergeCell ref="D16:J16"/>
    <mergeCell ref="D17:J17"/>
    <mergeCell ref="D18:J18"/>
    <mergeCell ref="D19:J19"/>
    <mergeCell ref="G27:J27"/>
    <mergeCell ref="G41:J41"/>
    <mergeCell ref="D40:E40"/>
    <mergeCell ref="D41:E41"/>
    <mergeCell ref="G50:J50"/>
    <mergeCell ref="D51:E51"/>
    <mergeCell ref="G51:J51"/>
    <mergeCell ref="G40:J40"/>
    <mergeCell ref="D34:E34"/>
    <mergeCell ref="D33:E33"/>
    <mergeCell ref="G34:J34"/>
    <mergeCell ref="H37:J37"/>
    <mergeCell ref="G33:J33"/>
    <mergeCell ref="D29:E29"/>
    <mergeCell ref="D46:E46"/>
    <mergeCell ref="G46:J46"/>
    <mergeCell ref="D47:E47"/>
    <mergeCell ref="G47:J47"/>
    <mergeCell ref="D35:E35"/>
    <mergeCell ref="G38:J38"/>
    <mergeCell ref="D39:E39"/>
    <mergeCell ref="D49:E49"/>
    <mergeCell ref="G35:J35"/>
    <mergeCell ref="D38:E38"/>
    <mergeCell ref="D59:E59"/>
    <mergeCell ref="D56:E56"/>
    <mergeCell ref="G56:J56"/>
    <mergeCell ref="D61:E61"/>
    <mergeCell ref="H61:J61"/>
    <mergeCell ref="H67:J67"/>
    <mergeCell ref="D67:E67"/>
    <mergeCell ref="G32:J32"/>
    <mergeCell ref="G29:J29"/>
    <mergeCell ref="D57:E57"/>
    <mergeCell ref="G39:J39"/>
    <mergeCell ref="G89:J89"/>
    <mergeCell ref="D79:E79"/>
    <mergeCell ref="G83:J83"/>
    <mergeCell ref="G79:J79"/>
    <mergeCell ref="D77:E77"/>
    <mergeCell ref="G74:I74"/>
    <mergeCell ref="D74:E74"/>
    <mergeCell ref="G76:J76"/>
    <mergeCell ref="A91:J91"/>
    <mergeCell ref="G85:J85"/>
    <mergeCell ref="B90:J90"/>
    <mergeCell ref="D81:E81"/>
    <mergeCell ref="D87:E87"/>
    <mergeCell ref="D85:E85"/>
    <mergeCell ref="D89:E89"/>
    <mergeCell ref="G86:J86"/>
    <mergeCell ref="G87:J87"/>
    <mergeCell ref="G88:J88"/>
    <mergeCell ref="G81:J81"/>
    <mergeCell ref="G26:J26"/>
    <mergeCell ref="G28:J28"/>
    <mergeCell ref="D28:E28"/>
    <mergeCell ref="D71:E71"/>
    <mergeCell ref="G75:J75"/>
    <mergeCell ref="D70:E70"/>
    <mergeCell ref="D75:E75"/>
    <mergeCell ref="B73:J73"/>
    <mergeCell ref="D83:E83"/>
    <mergeCell ref="D69:E69"/>
    <mergeCell ref="D68:E68"/>
    <mergeCell ref="D52:E52"/>
    <mergeCell ref="G57:J57"/>
    <mergeCell ref="G58:J58"/>
    <mergeCell ref="G59:J59"/>
    <mergeCell ref="D58:E58"/>
    <mergeCell ref="D55:E55"/>
    <mergeCell ref="D53:E53"/>
    <mergeCell ref="G52:J52"/>
    <mergeCell ref="D65:E65"/>
    <mergeCell ref="D64:E64"/>
    <mergeCell ref="D63:E63"/>
    <mergeCell ref="D62:E62"/>
    <mergeCell ref="G53:J53"/>
  </mergeCells>
  <conditionalFormatting sqref="D22:E22">
    <cfRule type="expression" dxfId="79" priority="159" stopIfTrue="1">
      <formula>IF($D$22="",TRUE)</formula>
    </cfRule>
  </conditionalFormatting>
  <conditionalFormatting sqref="D26:E26">
    <cfRule type="expression" dxfId="78" priority="137" stopIfTrue="1">
      <formula>IF($D$26="",TRUE)</formula>
    </cfRule>
  </conditionalFormatting>
  <conditionalFormatting sqref="D27:E27">
    <cfRule type="expression" dxfId="77" priority="144" stopIfTrue="1">
      <formula>IF($D$27="",TRUE)</formula>
    </cfRule>
  </conditionalFormatting>
  <conditionalFormatting sqref="D28:E28">
    <cfRule type="expression" dxfId="76" priority="145" stopIfTrue="1">
      <formula>IF($D$28="",TRUE)</formula>
    </cfRule>
  </conditionalFormatting>
  <conditionalFormatting sqref="D29:E29">
    <cfRule type="expression" dxfId="75" priority="146" stopIfTrue="1">
      <formula>IF($D$29="",TRUE)</formula>
    </cfRule>
  </conditionalFormatting>
  <conditionalFormatting sqref="D32:E32">
    <cfRule type="expression" dxfId="74" priority="55" stopIfTrue="1">
      <formula>IF(AND(OR($D$26="Yes",$D$26=""),$D$32=""),1,0)</formula>
    </cfRule>
    <cfRule type="expression" dxfId="73" priority="142" stopIfTrue="1">
      <formula>$P$26=""</formula>
    </cfRule>
  </conditionalFormatting>
  <conditionalFormatting sqref="D33:E33">
    <cfRule type="expression" dxfId="72" priority="43" stopIfTrue="1">
      <formula>$P$27=""</formula>
    </cfRule>
    <cfRule type="expression" dxfId="71" priority="42" stopIfTrue="1">
      <formula>IF(AND(OR($D$27="Yes",$D$27=""),$D$33=""),1,0)</formula>
    </cfRule>
  </conditionalFormatting>
  <conditionalFormatting sqref="D34:E34">
    <cfRule type="expression" dxfId="70" priority="1" stopIfTrue="1">
      <formula>IF(AND(OR($D$28="Yes",$D$28=""),$D$34=""),1,0)</formula>
    </cfRule>
    <cfRule type="expression" dxfId="69" priority="2" stopIfTrue="1">
      <formula>$P$28=""</formula>
    </cfRule>
  </conditionalFormatting>
  <conditionalFormatting sqref="D35:E35">
    <cfRule type="expression" dxfId="68" priority="39" stopIfTrue="1">
      <formula>IF(AND(OR($D$29="Yes",$D$29=""),$D$35=""),1,0)</formula>
    </cfRule>
    <cfRule type="expression" dxfId="67" priority="163" stopIfTrue="1">
      <formula>$P$29=""</formula>
    </cfRule>
  </conditionalFormatting>
  <conditionalFormatting sqref="D38:E38 D44:E44 D50:E50 D56:E56 D62:E62 D68:E68">
    <cfRule type="expression" dxfId="66" priority="18" stopIfTrue="1">
      <formula>$P$26=""</formula>
    </cfRule>
    <cfRule type="expression" dxfId="65" priority="19" stopIfTrue="1">
      <formula>$P$32=""</formula>
    </cfRule>
  </conditionalFormatting>
  <conditionalFormatting sqref="D38:E38">
    <cfRule type="expression" dxfId="64" priority="54" stopIfTrue="1">
      <formula>IF(AND(OR($D$26="Yes",$D$26=""),OR($D$32="Yes",$D$32=""),D38=""),1,0)</formula>
    </cfRule>
  </conditionalFormatting>
  <conditionalFormatting sqref="D39:E39 D45:E45 D51:E51 D57:E57 D63:E63 D69:E69">
    <cfRule type="expression" dxfId="63" priority="12" stopIfTrue="1">
      <formula>$P$33=""</formula>
    </cfRule>
    <cfRule type="expression" dxfId="62" priority="13" stopIfTrue="1">
      <formula>$P$39=""</formula>
    </cfRule>
  </conditionalFormatting>
  <conditionalFormatting sqref="D39:E39">
    <cfRule type="expression" dxfId="61" priority="50" stopIfTrue="1">
      <formula>IF(AND(OR($D$27="Yes",$D$27=""),OR($D$33="Yes",$D$33=""),D39=""),1,0)</formula>
    </cfRule>
  </conditionalFormatting>
  <conditionalFormatting sqref="D40:E40 D46:E46 D52:E52 D58:E58 D64:E64 D70:E70">
    <cfRule type="expression" dxfId="60" priority="7" stopIfTrue="1">
      <formula>$P$28=""</formula>
    </cfRule>
    <cfRule type="expression" dxfId="59" priority="8" stopIfTrue="1">
      <formula>$P$34=""</formula>
    </cfRule>
  </conditionalFormatting>
  <conditionalFormatting sqref="D40:E40">
    <cfRule type="expression" dxfId="58" priority="49" stopIfTrue="1">
      <formula>IF(AND(OR($D$28="Yes",$D$28=""),OR($D$34="Yes",$D$34=""),D40=""),1,0)</formula>
    </cfRule>
  </conditionalFormatting>
  <conditionalFormatting sqref="D41:E41 D47:E47 D53:E53 D59:E59 D65:E65 D71:E71">
    <cfRule type="expression" dxfId="57" priority="3" stopIfTrue="1">
      <formula>$P$29=""</formula>
    </cfRule>
    <cfRule type="expression" dxfId="56" priority="4" stopIfTrue="1">
      <formula>$P$35=""</formula>
    </cfRule>
  </conditionalFormatting>
  <conditionalFormatting sqref="D41:E41">
    <cfRule type="expression" dxfId="55" priority="165" stopIfTrue="1">
      <formula>IF(AND(OR($D$29="Yes",$D$29=""),OR($D$35="Yes",$D$35=""),D41=""),1,0)</formula>
    </cfRule>
  </conditionalFormatting>
  <conditionalFormatting sqref="D44:E44">
    <cfRule type="expression" dxfId="54" priority="53" stopIfTrue="1">
      <formula>IF(AND(OR($D$26="Yes",$D$26=""),OR($D$32="Yes",$D$32=""),D44=""),1,0)</formula>
    </cfRule>
  </conditionalFormatting>
  <conditionalFormatting sqref="D45:E45">
    <cfRule type="expression" dxfId="53" priority="15" stopIfTrue="1">
      <formula>IF(AND(OR($D$27="Yes",$D$27=""),OR($D$33="Yes",$D$33=""),D45=""),1,0)</formula>
    </cfRule>
  </conditionalFormatting>
  <conditionalFormatting sqref="D46:E46">
    <cfRule type="expression" dxfId="52" priority="40" stopIfTrue="1">
      <formula>IF(AND(OR($D$28="Yes",$D$28=""),OR($D$34="Yes",$D$34=""),D46=""),1,0)</formula>
    </cfRule>
  </conditionalFormatting>
  <conditionalFormatting sqref="D47:E47">
    <cfRule type="expression" dxfId="51" priority="48" stopIfTrue="1">
      <formula>IF(AND(OR($D$29="Yes",$D$29=""),OR($D$35="Yes",$D$35=""),D47=""),1,0)</formula>
    </cfRule>
  </conditionalFormatting>
  <conditionalFormatting sqref="D50:E50">
    <cfRule type="expression" dxfId="50" priority="21" stopIfTrue="1">
      <formula>IF(AND(OR($D$26="Yes",$D$26=""),OR($D$32="Yes",$D$32=""),D50=""),1,0)</formula>
    </cfRule>
  </conditionalFormatting>
  <conditionalFormatting sqref="D51:E51">
    <cfRule type="expression" dxfId="49" priority="160" stopIfTrue="1">
      <formula>IF(AND(OR($D$27="Yes",$D$27=""),OR($D$33="Yes",$D$33=""),D51=""),1,0)</formula>
    </cfRule>
  </conditionalFormatting>
  <conditionalFormatting sqref="D52:E52">
    <cfRule type="expression" dxfId="48" priority="11" stopIfTrue="1">
      <formula>IF(AND(OR($D$28="Yes",$D$28=""),OR($D$34="Yes",$D$34=""),D52=""),1,0)</formula>
    </cfRule>
  </conditionalFormatting>
  <conditionalFormatting sqref="D53:E53">
    <cfRule type="expression" dxfId="47" priority="34" stopIfTrue="1">
      <formula>IF(AND(OR($D$29="Yes",$D$29=""),OR($D$35="Yes",$D$35=""),D53=""),1,0)</formula>
    </cfRule>
  </conditionalFormatting>
  <conditionalFormatting sqref="D56:E56">
    <cfRule type="expression" dxfId="46" priority="29" stopIfTrue="1">
      <formula>IF(AND(OR($D$26="Yes",$D$26=""),OR($D$32="Yes",$D$32=""),D56=""),1,0)</formula>
    </cfRule>
  </conditionalFormatting>
  <conditionalFormatting sqref="D57:E57">
    <cfRule type="expression" dxfId="45" priority="17" stopIfTrue="1">
      <formula>IF(AND(OR($D$27="Yes",$D$27=""),OR($D$33="Yes",$D$33=""),D57=""),1,0)</formula>
    </cfRule>
  </conditionalFormatting>
  <conditionalFormatting sqref="D58:E58">
    <cfRule type="expression" dxfId="44" priority="10" stopIfTrue="1">
      <formula>IF(AND(OR($D$28="Yes",$D$28=""),OR($D$34="Yes",$D$34=""),D58=""),1,0)</formula>
    </cfRule>
  </conditionalFormatting>
  <conditionalFormatting sqref="D59:E59">
    <cfRule type="expression" dxfId="43" priority="6" stopIfTrue="1">
      <formula>IF(AND(OR($D$29="Yes",$D$29=""),OR($D$35="Yes",$D$35=""),D59=""),1,0)</formula>
    </cfRule>
  </conditionalFormatting>
  <conditionalFormatting sqref="D62:E62">
    <cfRule type="expression" dxfId="42" priority="28" stopIfTrue="1">
      <formula>IF(AND(OR($D$26="Yes",$D$26=""),OR($D$32="Yes",$D$32=""),D62=""),1,0)</formula>
    </cfRule>
  </conditionalFormatting>
  <conditionalFormatting sqref="D63:E63">
    <cfRule type="expression" dxfId="41" priority="14" stopIfTrue="1">
      <formula>IF(AND(OR($D$27="Yes",$D$27=""),OR($D$33="Yes",$D$33=""),D63=""),1,0)</formula>
    </cfRule>
  </conditionalFormatting>
  <conditionalFormatting sqref="D64:E64">
    <cfRule type="expression" dxfId="40" priority="9" stopIfTrue="1">
      <formula>IF(AND(OR($D$28="Yes",$D$28=""),OR($D$34="Yes",$D$34=""),D64=""),1,0)</formula>
    </cfRule>
  </conditionalFormatting>
  <conditionalFormatting sqref="D65:E65">
    <cfRule type="expression" dxfId="39" priority="5" stopIfTrue="1">
      <formula>IF(AND(OR($D$29="Yes",$D$29=""),OR($D$35="Yes",$D$35=""),D65=""),1,0)</formula>
    </cfRule>
  </conditionalFormatting>
  <conditionalFormatting sqref="D68:E68">
    <cfRule type="expression" dxfId="38" priority="20" stopIfTrue="1">
      <formula>IF(AND(OR($D$26="Yes",$D$26=""),OR($D$32="Yes",$D$32=""),D68=""),1,0)</formula>
    </cfRule>
  </conditionalFormatting>
  <conditionalFormatting sqref="D69:E69">
    <cfRule type="expression" dxfId="37" priority="16" stopIfTrue="1">
      <formula>IF(AND(OR($D$27="Yes",$D$27=""),OR($D$33="Yes",$D$33=""),D69=""),1,0)</formula>
    </cfRule>
  </conditionalFormatting>
  <conditionalFormatting sqref="D70:E70">
    <cfRule type="expression" dxfId="36" priority="162" stopIfTrue="1">
      <formula>IF(AND(OR($D$28="Yes",$D$28=""),OR($D$34="Yes",$D$34=""),D70=""),1,0)</formula>
    </cfRule>
  </conditionalFormatting>
  <conditionalFormatting sqref="D71:E71">
    <cfRule type="expression" dxfId="35" priority="164" stopIfTrue="1">
      <formula>IF(AND(OR($D$29="Yes",$D$29=""),OR($D$35="Yes",$D$35=""),D71=""),1,0)</formula>
    </cfRule>
  </conditionalFormatting>
  <conditionalFormatting sqref="D75:E75 D77:E77 D79:E79 D81:E81 D83 D85:E85 D87:E87 D89:E89">
    <cfRule type="expression" dxfId="34" priority="85" stopIfTrue="1">
      <formula>AND(OR($D$26="No",AND($D$26="Yes",$D$32="No")),OR($D$27="No",AND($D$27="Yes",$D$33="No")),OR($D$28="No",AND($D$28="Yes",$D$34="No")),OR($D$29="No",AND($D$29="Yes",$D$35="No")))</formula>
    </cfRule>
    <cfRule type="expression" dxfId="33" priority="86" stopIfTrue="1">
      <formula>IF(D75="",TRUE)</formula>
    </cfRule>
  </conditionalFormatting>
  <conditionalFormatting sqref="D9:G9">
    <cfRule type="expression" dxfId="32" priority="152" stopIfTrue="1">
      <formula>IF($D$9="",TRUE)</formula>
    </cfRule>
  </conditionalFormatting>
  <conditionalFormatting sqref="D8:J8">
    <cfRule type="expression" dxfId="31" priority="151" stopIfTrue="1">
      <formula>IF($D$8="",TRUE)</formula>
    </cfRule>
  </conditionalFormatting>
  <conditionalFormatting sqref="D10:J10">
    <cfRule type="expression" dxfId="30" priority="166" stopIfTrue="1">
      <formula>IF(AND($D$10="",$D$9=$R$9),TRUE)</formula>
    </cfRule>
    <cfRule type="expression" dxfId="29" priority="56" stopIfTrue="1">
      <formula>IF($D$9=$Q$9,TRUE)</formula>
    </cfRule>
  </conditionalFormatting>
  <conditionalFormatting sqref="D15:J15">
    <cfRule type="expression" dxfId="28" priority="153" stopIfTrue="1">
      <formula>IF($D$15="",TRUE)</formula>
    </cfRule>
  </conditionalFormatting>
  <conditionalFormatting sqref="D16:J16">
    <cfRule type="expression" dxfId="27" priority="154" stopIfTrue="1">
      <formula>IF($D$16="",TRUE)</formula>
    </cfRule>
  </conditionalFormatting>
  <conditionalFormatting sqref="D17:J17">
    <cfRule type="expression" dxfId="26" priority="22" stopIfTrue="1">
      <formula>IF($D$17="",TRUE)</formula>
    </cfRule>
  </conditionalFormatting>
  <conditionalFormatting sqref="D18:J18">
    <cfRule type="expression" dxfId="25" priority="156" stopIfTrue="1">
      <formula>IF($D$18="",TRUE)</formula>
    </cfRule>
  </conditionalFormatting>
  <conditionalFormatting sqref="D20:J20">
    <cfRule type="expression" dxfId="24" priority="35" stopIfTrue="1">
      <formula>IF($D$20="",TRUE)</formula>
    </cfRule>
  </conditionalFormatting>
  <conditionalFormatting sqref="G77:J77">
    <cfRule type="expression" dxfId="23" priority="57" stopIfTrue="1">
      <formula>IF(AND($D$77="Yes",$G$77=""),TRUE)</formula>
    </cfRule>
  </conditionalFormatting>
  <conditionalFormatting sqref="G85:J85">
    <cfRule type="expression" dxfId="22"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20" r:id="rId3" xr:uid="{0C76CF25-F8AB-433B-AF5F-30EAE6C024DD}"/>
  </hyperlinks>
  <pageMargins left="0.70866141732283505" right="0.70866141732283505" top="0.74803149606299202" bottom="0.74803149606299202" header="0.31496062992126" footer="0.31496062992126"/>
  <pageSetup scale="41" fitToHeight="0" orientation="portrait" r:id="rId4"/>
  <rowBreaks count="1" manualBreakCount="1">
    <brk id="66" max="11" man="1"/>
  </rowBreaks>
  <drawing r:id="rId5"/>
  <legacyDrawing r:id="rId6"/>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C10" zoomScaleNormal="100" zoomScalePageLayoutView="55" workbookViewId="0">
      <selection activeCell="E40" sqref="E40"/>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96" t="str">
        <f ca="1">OFFSET(L!$C$1,MATCH("Smelter List"&amp;ADDRESS(ROW(),COLUMN(),4),L!$A:$A,0)-1,SL,,)</f>
        <v>Link to "RMAP Conformant Smelter List"</v>
      </c>
      <c r="K2" s="397"/>
      <c r="L2" s="397"/>
      <c r="M2" s="397"/>
      <c r="N2" s="397"/>
      <c r="O2" s="397"/>
      <c r="P2" s="195"/>
      <c r="Q2" s="196"/>
      <c r="R2" s="197"/>
      <c r="S2" s="197"/>
      <c r="T2" s="197"/>
      <c r="AH2" s="145" t="s">
        <v>488</v>
      </c>
    </row>
    <row r="3" spans="1:34" s="221" customFormat="1" ht="173.45" customHeight="1">
      <c r="A3" s="171"/>
      <c r="B3" s="39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98"/>
      <c r="D3" s="398"/>
      <c r="E3" s="398"/>
      <c r="F3" s="222"/>
      <c r="G3" s="399" t="str">
        <f ca="1">OFFSET(L!$C$1,MATCH("General"&amp;"Cpy",L!$A:$A,0)-1,SL,,)</f>
        <v>© 2023 Responsible Minerals Initiative. All rights reserved.</v>
      </c>
      <c r="H3" s="399"/>
      <c r="I3" s="400"/>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298" t="s">
        <v>650</v>
      </c>
      <c r="B5" s="293" t="s">
        <v>1125</v>
      </c>
      <c r="C5" s="294" t="s">
        <v>2140</v>
      </c>
      <c r="D5" s="295"/>
      <c r="E5" s="293" t="s">
        <v>1104</v>
      </c>
      <c r="F5" s="293" t="s">
        <v>650</v>
      </c>
      <c r="G5" s="293" t="s">
        <v>13240</v>
      </c>
      <c r="H5" s="296"/>
      <c r="I5" s="297" t="s">
        <v>1540</v>
      </c>
      <c r="J5" s="297" t="s">
        <v>1541</v>
      </c>
      <c r="K5" s="224"/>
      <c r="L5" s="224"/>
      <c r="M5" s="224"/>
      <c r="N5" s="224"/>
      <c r="O5" s="224"/>
      <c r="P5" s="185"/>
      <c r="Q5" s="225"/>
      <c r="R5" s="182" t="str">
        <f ca="1">IF(ISERROR($V5),"",OFFSET('Smelter Look-up'!$C$4,$V5-4,0)&amp;"")</f>
        <v>Aida Chemical Industries Co., Ltd.</v>
      </c>
      <c r="S5" s="181" t="str">
        <f t="shared" ref="S5" ca="1" si="0">IF(B5="","",IF(ISERROR(MATCH($E5,CL,0)),"Unknown",INDIRECT("'C'!$A$"&amp;MATCH($E5,CL,0)+1)))</f>
        <v>JP</v>
      </c>
      <c r="T5" s="181" t="str">
        <f ca="1">IF(B5="","",IF(ISERROR(MATCH($J5,SorP!$B$1:$B$6279,0)),"",INDIRECT("'SorP'!$A$"&amp;MATCH($S5&amp;$J5,SorP!C:C,0))))</f>
        <v>JP-13</v>
      </c>
      <c r="U5" s="201"/>
      <c r="V5" s="226">
        <f>IF(C5="",NA(),IF(OR(C5="Smelter not listed",C5="Smelter not yet identified"),MATCH($B5&amp;$D5,'Smelter Look-up'!$J:$J,0),MATCH($B5&amp;$C5,'Smelter Look-up'!$J:$J,0)))</f>
        <v>13</v>
      </c>
      <c r="X5" s="227">
        <f t="shared" ref="X5" si="1">IF(AND(C5="Smelter not listed",OR(LEN(D5)=0,LEN(E5)=0)),1,0)</f>
        <v>0</v>
      </c>
      <c r="AB5" s="228" t="str">
        <f t="shared" ref="AB5" si="2">B5&amp;C5</f>
        <v>GoldAida Chemical Industries Co., Ltd.</v>
      </c>
    </row>
    <row r="6" spans="1:34" s="227" customFormat="1" ht="19.899999999999999" customHeight="1">
      <c r="A6" s="298" t="s">
        <v>789</v>
      </c>
      <c r="B6" s="293" t="s">
        <v>1128</v>
      </c>
      <c r="C6" s="294" t="s">
        <v>148</v>
      </c>
      <c r="D6" s="295"/>
      <c r="E6" s="293" t="s">
        <v>15814</v>
      </c>
      <c r="F6" s="293" t="s">
        <v>789</v>
      </c>
      <c r="G6" s="293" t="s">
        <v>13240</v>
      </c>
      <c r="H6" s="296"/>
      <c r="I6" s="297" t="s">
        <v>1822</v>
      </c>
      <c r="J6" s="297" t="s">
        <v>1823</v>
      </c>
      <c r="K6" s="224"/>
      <c r="L6" s="224"/>
      <c r="M6" s="224"/>
      <c r="N6" s="224"/>
      <c r="O6" s="224"/>
      <c r="P6" s="185"/>
      <c r="Q6" s="225"/>
      <c r="R6" s="182" t="str">
        <f ca="1">IF(ISERROR($V6),"",OFFSET('Smelter Look-up'!$C$4,$V6-4,0)&amp;"")</f>
        <v>Kennametal Huntsville</v>
      </c>
      <c r="S6" s="181" t="str">
        <f t="shared" ref="S6:S37" ca="1" si="3">IF(B6="","",IF(ISERROR(MATCH($E6,CL,0)),"Unknown",INDIRECT("'C'!$A$"&amp;MATCH($E6,CL,0)+1)))</f>
        <v>US</v>
      </c>
      <c r="T6" s="181" t="str">
        <f ca="1">IF(B6="","",IF(ISERROR(MATCH($J6,SorP!$B$1:$B$6279,0)),"",INDIRECT("'SorP'!$A$"&amp;MATCH($S6&amp;$J6,SorP!C:C,0))))</f>
        <v>US-AL</v>
      </c>
      <c r="U6" s="201"/>
      <c r="V6" s="226">
        <f>IF(C6="",NA(),IF(OR(C6="Smelter not listed",C6="Smelter not yet identified"),MATCH($B6&amp;$D6,'Smelter Look-up'!$J:$J,0),MATCH($B6&amp;$C6,'Smelter Look-up'!$J:$J,0)))</f>
        <v>612</v>
      </c>
      <c r="X6" s="227">
        <f t="shared" ref="X6:X37" si="4">IF(AND(C6="Smelter not listed",OR(LEN(D6)=0,LEN(E6)=0)),1,0)</f>
        <v>0</v>
      </c>
      <c r="AB6" s="228" t="str">
        <f t="shared" ref="AB6:AB37" si="5">B6&amp;C6</f>
        <v>TungstenKennametal Huntsville</v>
      </c>
    </row>
    <row r="7" spans="1:34" s="227" customFormat="1" ht="19.899999999999999" customHeight="1">
      <c r="A7" s="298" t="s">
        <v>662</v>
      </c>
      <c r="B7" s="293" t="s">
        <v>1125</v>
      </c>
      <c r="C7" s="294" t="s">
        <v>661</v>
      </c>
      <c r="D7" s="295"/>
      <c r="E7" s="293" t="s">
        <v>15809</v>
      </c>
      <c r="F7" s="293" t="s">
        <v>662</v>
      </c>
      <c r="G7" s="293" t="s">
        <v>13240</v>
      </c>
      <c r="H7" s="296"/>
      <c r="I7" s="297" t="s">
        <v>1542</v>
      </c>
      <c r="J7" s="297" t="s">
        <v>1543</v>
      </c>
      <c r="K7" s="224"/>
      <c r="L7" s="224"/>
      <c r="M7" s="224"/>
      <c r="N7" s="224"/>
      <c r="O7" s="224"/>
      <c r="P7" s="185"/>
      <c r="Q7" s="225"/>
      <c r="R7" s="182" t="str">
        <f ca="1">IF(ISERROR($V7),"",OFFSET('Smelter Look-up'!$C$4,$V7-4,0)&amp;"")</f>
        <v>C. Hafner GmbH + Co. KG</v>
      </c>
      <c r="S7" s="181" t="str">
        <f t="shared" ca="1" si="3"/>
        <v>DE</v>
      </c>
      <c r="T7" s="181" t="str">
        <f ca="1">IF(B7="","",IF(ISERROR(MATCH($J7,SorP!$B$1:$B$6279,0)),"",INDIRECT("'SorP'!$A$"&amp;MATCH($S7&amp;$J7,SorP!C:C,0))))</f>
        <v>DE-BW</v>
      </c>
      <c r="U7" s="201"/>
      <c r="V7" s="226">
        <f>IF(C7="",NA(),IF(OR(C7="Smelter not listed",C7="Smelter not yet identified"),MATCH($B7&amp;$D7,'Smelter Look-up'!$J:$J,0),MATCH($B7&amp;$C7,'Smelter Look-up'!$J:$J,0)))</f>
        <v>43</v>
      </c>
      <c r="X7" s="227">
        <f t="shared" si="4"/>
        <v>0</v>
      </c>
      <c r="AB7" s="228" t="str">
        <f t="shared" si="5"/>
        <v>GoldC. Hafner GmbH + Co. KG</v>
      </c>
    </row>
    <row r="8" spans="1:34" s="227" customFormat="1" ht="19.899999999999999" customHeight="1">
      <c r="A8" s="298" t="s">
        <v>790</v>
      </c>
      <c r="B8" s="293" t="s">
        <v>1128</v>
      </c>
      <c r="C8" s="294" t="s">
        <v>1375</v>
      </c>
      <c r="D8" s="295"/>
      <c r="E8" s="293" t="s">
        <v>15818</v>
      </c>
      <c r="F8" s="293" t="s">
        <v>790</v>
      </c>
      <c r="G8" s="293" t="s">
        <v>13240</v>
      </c>
      <c r="H8" s="296"/>
      <c r="I8" s="297" t="s">
        <v>1824</v>
      </c>
      <c r="J8" s="297" t="s">
        <v>13624</v>
      </c>
      <c r="K8" s="224"/>
      <c r="L8" s="224"/>
      <c r="M8" s="224"/>
      <c r="N8" s="224"/>
      <c r="O8" s="224"/>
      <c r="P8" s="185"/>
      <c r="Q8" s="225"/>
      <c r="R8" s="182" t="str">
        <f ca="1">IF(ISERROR($V8),"",OFFSET('Smelter Look-up'!$C$4,$V8-4,0)&amp;"")</f>
        <v>Guangdong Xianglu Tungsten Co., Ltd.</v>
      </c>
      <c r="S8" s="181" t="str">
        <f t="shared" ca="1" si="3"/>
        <v>CN</v>
      </c>
      <c r="T8" s="181" t="str">
        <f ca="1">IF(B8="","",IF(ISERROR(MATCH($J8,SorP!$B$1:$B$6279,0)),"",INDIRECT("'SorP'!$A$"&amp;MATCH($S8&amp;$J8,SorP!C:C,0))))</f>
        <v>CN-GD</v>
      </c>
      <c r="U8" s="201"/>
      <c r="V8" s="226">
        <f>IF(C8="",NA(),IF(OR(C8="Smelter not listed",C8="Smelter not yet identified"),MATCH($B8&amp;$D8,'Smelter Look-up'!$J:$J,0),MATCH($B8&amp;$C8,'Smelter Look-up'!$J:$J,0)))</f>
        <v>587</v>
      </c>
      <c r="X8" s="227">
        <f t="shared" si="4"/>
        <v>0</v>
      </c>
      <c r="AB8" s="228" t="str">
        <f t="shared" si="5"/>
        <v>TungstenGuangdong Xianglu Tungsten Co., Ltd.</v>
      </c>
    </row>
    <row r="9" spans="1:34" s="227" customFormat="1" ht="19.899999999999999" customHeight="1">
      <c r="A9" s="298" t="s">
        <v>2278</v>
      </c>
      <c r="B9" s="293" t="s">
        <v>1126</v>
      </c>
      <c r="C9" s="294" t="s">
        <v>2335</v>
      </c>
      <c r="D9" s="295"/>
      <c r="E9" s="293" t="s">
        <v>15818</v>
      </c>
      <c r="F9" s="293" t="s">
        <v>2278</v>
      </c>
      <c r="G9" s="293" t="s">
        <v>13240</v>
      </c>
      <c r="H9" s="296"/>
      <c r="I9" s="297" t="s">
        <v>1774</v>
      </c>
      <c r="J9" s="297" t="s">
        <v>13623</v>
      </c>
      <c r="K9" s="224"/>
      <c r="L9" s="224"/>
      <c r="M9" s="224"/>
      <c r="N9" s="224"/>
      <c r="O9" s="224"/>
      <c r="P9" s="185"/>
      <c r="Q9" s="225"/>
      <c r="R9" s="182" t="str">
        <f ca="1">IF(ISERROR($V9),"",OFFSET('Smelter Look-up'!$C$4,$V9-4,0)&amp;"")</f>
        <v>Chenzhou Yunxiang Mining and Metallurgy Co., Ltd.</v>
      </c>
      <c r="S9" s="181" t="str">
        <f t="shared" ca="1" si="3"/>
        <v>CN</v>
      </c>
      <c r="T9" s="181" t="str">
        <f ca="1">IF(B9="","",IF(ISERROR(MATCH($J9,SorP!$B$1:$B$6279,0)),"",INDIRECT("'SorP'!$A$"&amp;MATCH($S9&amp;$J9,SorP!C:C,0))))</f>
        <v>CN-HN</v>
      </c>
      <c r="U9" s="201"/>
      <c r="V9" s="226">
        <f>IF(C9="",NA(),IF(OR(C9="Smelter not listed",C9="Smelter not yet identified"),MATCH($B9&amp;$D9,'Smelter Look-up'!$J:$J,0),MATCH($B9&amp;$C9,'Smelter Look-up'!$J:$J,0)))</f>
        <v>400</v>
      </c>
      <c r="X9" s="227">
        <f t="shared" si="4"/>
        <v>0</v>
      </c>
      <c r="AB9" s="228" t="str">
        <f t="shared" si="5"/>
        <v>TinChenzhou Yunxiang Mining and Metallurgy Co., Ltd.</v>
      </c>
    </row>
    <row r="10" spans="1:34" s="227" customFormat="1" ht="19.899999999999999" customHeight="1">
      <c r="A10" s="298" t="s">
        <v>666</v>
      </c>
      <c r="B10" s="293" t="s">
        <v>1125</v>
      </c>
      <c r="C10" s="294" t="s">
        <v>53</v>
      </c>
      <c r="D10" s="295"/>
      <c r="E10" s="293" t="s">
        <v>15819</v>
      </c>
      <c r="F10" s="293" t="s">
        <v>666</v>
      </c>
      <c r="G10" s="293" t="s">
        <v>13240</v>
      </c>
      <c r="H10" s="296"/>
      <c r="I10" s="297" t="s">
        <v>1569</v>
      </c>
      <c r="J10" s="297" t="s">
        <v>6470</v>
      </c>
      <c r="K10" s="224"/>
      <c r="L10" s="224"/>
      <c r="M10" s="224"/>
      <c r="N10" s="224"/>
      <c r="O10" s="224"/>
      <c r="P10" s="185"/>
      <c r="Q10" s="225"/>
      <c r="R10" s="182" t="str">
        <f ca="1">IF(ISERROR($V10),"",OFFSET('Smelter Look-up'!$C$4,$V10-4,0)&amp;"")</f>
        <v>Chimet S.p.A.</v>
      </c>
      <c r="S10" s="181" t="str">
        <f t="shared" ca="1" si="3"/>
        <v>IT</v>
      </c>
      <c r="T10" s="181" t="str">
        <f ca="1">IF(B10="","",IF(ISERROR(MATCH($J10,SorP!$B$1:$B$6279,0)),"",INDIRECT("'SorP'!$A$"&amp;MATCH($S10&amp;$J10,SorP!C:C,0))))</f>
        <v>IT-52</v>
      </c>
      <c r="U10" s="201"/>
      <c r="V10" s="226">
        <f>IF(C10="",NA(),IF(OR(C10="Smelter not listed",C10="Smelter not yet identified"),MATCH($B10&amp;$D10,'Smelter Look-up'!$J:$J,0),MATCH($B10&amp;$C10,'Smelter Look-up'!$J:$J,0)))</f>
        <v>55</v>
      </c>
      <c r="X10" s="227">
        <f t="shared" si="4"/>
        <v>0</v>
      </c>
      <c r="AB10" s="228" t="str">
        <f t="shared" si="5"/>
        <v>GoldChimet S.p.A.</v>
      </c>
    </row>
    <row r="11" spans="1:34" s="227" customFormat="1" ht="19.899999999999999" customHeight="1">
      <c r="A11" s="298" t="s">
        <v>791</v>
      </c>
      <c r="B11" s="293" t="s">
        <v>1128</v>
      </c>
      <c r="C11" s="294" t="s">
        <v>1374</v>
      </c>
      <c r="D11" s="295"/>
      <c r="E11" s="293" t="s">
        <v>15818</v>
      </c>
      <c r="F11" s="293" t="s">
        <v>791</v>
      </c>
      <c r="G11" s="293" t="s">
        <v>13240</v>
      </c>
      <c r="H11" s="296"/>
      <c r="I11" s="297" t="s">
        <v>1773</v>
      </c>
      <c r="J11" s="297" t="s">
        <v>13619</v>
      </c>
      <c r="K11" s="224"/>
      <c r="L11" s="224"/>
      <c r="M11" s="224"/>
      <c r="N11" s="224"/>
      <c r="O11" s="224"/>
      <c r="P11" s="185"/>
      <c r="Q11" s="225"/>
      <c r="R11" s="182" t="str">
        <f ca="1">IF(ISERROR($V11),"",OFFSET('Smelter Look-up'!$C$4,$V11-4,0)&amp;"")</f>
        <v>Chongyi Zhangyuan Tungsten Co., Ltd.</v>
      </c>
      <c r="S11" s="181" t="str">
        <f t="shared" ca="1" si="3"/>
        <v>CN</v>
      </c>
      <c r="T11" s="181" t="str">
        <f ca="1">IF(B11="","",IF(ISERROR(MATCH($J11,SorP!$B$1:$B$6279,0)),"",INDIRECT("'SorP'!$A$"&amp;MATCH($S11&amp;$J11,SorP!C:C,0))))</f>
        <v>CN-JX</v>
      </c>
      <c r="U11" s="201"/>
      <c r="V11" s="226">
        <f>IF(C11="",NA(),IF(OR(C11="Smelter not listed",C11="Smelter not yet identified"),MATCH($B11&amp;$D11,'Smelter Look-up'!$J:$J,0),MATCH($B11&amp;$C11,'Smelter Look-up'!$J:$J,0)))</f>
        <v>573</v>
      </c>
      <c r="X11" s="227">
        <f t="shared" si="4"/>
        <v>0</v>
      </c>
      <c r="AB11" s="228" t="str">
        <f t="shared" si="5"/>
        <v>TungstenChongyi Zhangyuan Tungsten Co., Ltd.</v>
      </c>
    </row>
    <row r="12" spans="1:34" s="227" customFormat="1" ht="19.899999999999999" customHeight="1">
      <c r="A12" s="298" t="s">
        <v>667</v>
      </c>
      <c r="B12" s="293" t="s">
        <v>1125</v>
      </c>
      <c r="C12" s="294" t="s">
        <v>539</v>
      </c>
      <c r="D12" s="295"/>
      <c r="E12" s="293" t="s">
        <v>15808</v>
      </c>
      <c r="F12" s="293" t="s">
        <v>667</v>
      </c>
      <c r="G12" s="293" t="s">
        <v>13240</v>
      </c>
      <c r="H12" s="296"/>
      <c r="I12" s="297" t="s">
        <v>1570</v>
      </c>
      <c r="J12" s="297" t="s">
        <v>1541</v>
      </c>
      <c r="K12" s="224"/>
      <c r="L12" s="224"/>
      <c r="M12" s="224"/>
      <c r="N12" s="224"/>
      <c r="O12" s="224"/>
      <c r="P12" s="185"/>
      <c r="Q12" s="225"/>
      <c r="R12" s="182" t="str">
        <f ca="1">IF(ISERROR($V12),"",OFFSET('Smelter Look-up'!$C$4,$V12-4,0)&amp;"")</f>
        <v>Chugai Mining</v>
      </c>
      <c r="S12" s="181" t="str">
        <f t="shared" ca="1" si="3"/>
        <v>JP</v>
      </c>
      <c r="T12" s="181" t="str">
        <f ca="1">IF(B12="","",IF(ISERROR(MATCH($J12,SorP!$B$1:$B$6279,0)),"",INDIRECT("'SorP'!$A$"&amp;MATCH($S12&amp;$J12,SorP!C:C,0))))</f>
        <v>JP-13</v>
      </c>
      <c r="U12" s="201"/>
      <c r="V12" s="226">
        <f>IF(C12="",NA(),IF(OR(C12="Smelter not listed",C12="Smelter not yet identified"),MATCH($B12&amp;$D12,'Smelter Look-up'!$J:$J,0),MATCH($B12&amp;$C12,'Smelter Look-up'!$J:$J,0)))</f>
        <v>58</v>
      </c>
      <c r="X12" s="227">
        <f t="shared" si="4"/>
        <v>0</v>
      </c>
      <c r="AB12" s="228" t="str">
        <f t="shared" si="5"/>
        <v>GoldChugai Mining</v>
      </c>
    </row>
    <row r="13" spans="1:34" s="227" customFormat="1" ht="19.899999999999999" customHeight="1">
      <c r="A13" s="298" t="s">
        <v>763</v>
      </c>
      <c r="B13" s="293" t="s">
        <v>1126</v>
      </c>
      <c r="C13" s="294" t="s">
        <v>49</v>
      </c>
      <c r="D13" s="295"/>
      <c r="E13" s="293" t="s">
        <v>2432</v>
      </c>
      <c r="F13" s="293" t="s">
        <v>763</v>
      </c>
      <c r="G13" s="293" t="s">
        <v>13240</v>
      </c>
      <c r="H13" s="296"/>
      <c r="I13" s="297" t="s">
        <v>1760</v>
      </c>
      <c r="J13" s="297" t="s">
        <v>1737</v>
      </c>
      <c r="K13" s="224"/>
      <c r="L13" s="224"/>
      <c r="M13" s="224"/>
      <c r="N13" s="224"/>
      <c r="O13" s="224"/>
      <c r="P13" s="185"/>
      <c r="Q13" s="225"/>
      <c r="R13" s="182" t="str">
        <f ca="1">IF(ISERROR($V13),"",OFFSET('Smelter Look-up'!$C$4,$V13-4,0)&amp;"")</f>
        <v>Alpha</v>
      </c>
      <c r="S13" s="181" t="str">
        <f t="shared" ca="1" si="3"/>
        <v>US</v>
      </c>
      <c r="T13" s="181" t="str">
        <f ca="1">IF(B13="","",IF(ISERROR(MATCH($J13,SorP!$B$1:$B$6279,0)),"",INDIRECT("'SorP'!$A$"&amp;MATCH($S13&amp;$J13,SorP!C:C,0))))</f>
        <v>US-PA</v>
      </c>
      <c r="U13" s="201"/>
      <c r="V13" s="226">
        <f>IF(C13="",NA(),IF(OR(C13="Smelter not listed",C13="Smelter not yet identified"),MATCH($B13&amp;$D13,'Smelter Look-up'!$J:$J,0),MATCH($B13&amp;$C13,'Smelter Look-up'!$J:$J,0)))</f>
        <v>389</v>
      </c>
      <c r="X13" s="227">
        <f t="shared" si="4"/>
        <v>0</v>
      </c>
      <c r="AB13" s="228" t="str">
        <f t="shared" si="5"/>
        <v>TinAlpha</v>
      </c>
    </row>
    <row r="14" spans="1:34" s="227" customFormat="1" ht="19.899999999999999" customHeight="1">
      <c r="A14" s="298" t="s">
        <v>15095</v>
      </c>
      <c r="B14" s="293" t="s">
        <v>1126</v>
      </c>
      <c r="C14" s="294" t="s">
        <v>15094</v>
      </c>
      <c r="D14" s="295"/>
      <c r="E14" s="293" t="s">
        <v>15820</v>
      </c>
      <c r="F14" s="293" t="s">
        <v>15095</v>
      </c>
      <c r="G14" s="293" t="s">
        <v>13240</v>
      </c>
      <c r="H14" s="296"/>
      <c r="I14" s="297" t="s">
        <v>15142</v>
      </c>
      <c r="J14" s="297" t="s">
        <v>12852</v>
      </c>
      <c r="K14" s="224"/>
      <c r="L14" s="224"/>
      <c r="M14" s="224"/>
      <c r="N14" s="224"/>
      <c r="O14" s="224"/>
      <c r="P14" s="185"/>
      <c r="Q14" s="225"/>
      <c r="R14" s="182" t="str">
        <f ca="1">IF(ISERROR($V14),"",OFFSET('Smelter Look-up'!$C$4,$V14-4,0)&amp;"")</f>
        <v>PT Aries Kencana Sejahtera</v>
      </c>
      <c r="S14" s="181" t="str">
        <f t="shared" ca="1" si="3"/>
        <v>ID</v>
      </c>
      <c r="T14" s="181" t="str">
        <f ca="1">IF(B14="","",IF(ISERROR(MATCH($J14,SorP!$B$1:$B$6279,0)),"",INDIRECT("'SorP'!$A$"&amp;MATCH($S14&amp;$J14,SorP!C:C,0))))</f>
        <v>ID-BB</v>
      </c>
      <c r="U14" s="201"/>
      <c r="V14" s="226">
        <f>IF(C14="",NA(),IF(OR(C14="Smelter not listed",C14="Smelter not yet identified"),MATCH($B14&amp;$D14,'Smelter Look-up'!$J:$J,0),MATCH($B14&amp;$C14,'Smelter Look-up'!$J:$J,0)))</f>
        <v>486</v>
      </c>
      <c r="X14" s="227">
        <f t="shared" si="4"/>
        <v>0</v>
      </c>
      <c r="AB14" s="228" t="str">
        <f t="shared" si="5"/>
        <v>TinPT Aries Kencana Sejahtera</v>
      </c>
    </row>
    <row r="15" spans="1:34" s="227" customFormat="1" ht="19.899999999999999" customHeight="1">
      <c r="A15" s="298" t="s">
        <v>670</v>
      </c>
      <c r="B15" s="293" t="s">
        <v>1125</v>
      </c>
      <c r="C15" s="294" t="s">
        <v>2256</v>
      </c>
      <c r="D15" s="295"/>
      <c r="E15" s="293" t="s">
        <v>15821</v>
      </c>
      <c r="F15" s="293" t="s">
        <v>670</v>
      </c>
      <c r="G15" s="293" t="s">
        <v>13240</v>
      </c>
      <c r="H15" s="296"/>
      <c r="I15" s="297" t="s">
        <v>1573</v>
      </c>
      <c r="J15" s="297" t="s">
        <v>12871</v>
      </c>
      <c r="K15" s="224"/>
      <c r="L15" s="224"/>
      <c r="M15" s="224"/>
      <c r="N15" s="224"/>
      <c r="O15" s="224"/>
      <c r="P15" s="185"/>
      <c r="Q15" s="225"/>
      <c r="R15" s="182" t="str">
        <f ca="1">IF(ISERROR($V15),"",OFFSET('Smelter Look-up'!$C$4,$V15-4,0)&amp;"")</f>
        <v>DSC (Do Sung Corporation)</v>
      </c>
      <c r="S15" s="181" t="str">
        <f t="shared" ca="1" si="3"/>
        <v>KR</v>
      </c>
      <c r="T15" s="181" t="str">
        <f ca="1">IF(B15="","",IF(ISERROR(MATCH($J15,SorP!$B$1:$B$6279,0)),"",INDIRECT("'SorP'!$A$"&amp;MATCH($S15&amp;$J15,SorP!C:C,0))))</f>
        <v>KR-41</v>
      </c>
      <c r="U15" s="201"/>
      <c r="V15" s="226">
        <f>IF(C15="",NA(),IF(OR(C15="Smelter not listed",C15="Smelter not yet identified"),MATCH($B15&amp;$D15,'Smelter Look-up'!$J:$J,0),MATCH($B15&amp;$C15,'Smelter Look-up'!$J:$J,0)))</f>
        <v>71</v>
      </c>
      <c r="X15" s="227">
        <f t="shared" si="4"/>
        <v>0</v>
      </c>
      <c r="AB15" s="228" t="str">
        <f t="shared" si="5"/>
        <v>GoldDSC (Do Sung Corporation)</v>
      </c>
    </row>
    <row r="16" spans="1:34" s="227" customFormat="1" ht="19.899999999999999" customHeight="1">
      <c r="A16" s="298" t="s">
        <v>671</v>
      </c>
      <c r="B16" s="293" t="s">
        <v>1125</v>
      </c>
      <c r="C16" s="294" t="s">
        <v>902</v>
      </c>
      <c r="D16" s="295"/>
      <c r="E16" s="293" t="s">
        <v>15808</v>
      </c>
      <c r="F16" s="293" t="s">
        <v>671</v>
      </c>
      <c r="G16" s="293" t="s">
        <v>13240</v>
      </c>
      <c r="H16" s="296"/>
      <c r="I16" s="297" t="s">
        <v>1574</v>
      </c>
      <c r="J16" s="297" t="s">
        <v>1575</v>
      </c>
      <c r="K16" s="224"/>
      <c r="L16" s="224"/>
      <c r="M16" s="224"/>
      <c r="N16" s="224"/>
      <c r="O16" s="224"/>
      <c r="P16" s="185"/>
      <c r="Q16" s="225"/>
      <c r="R16" s="182" t="str">
        <f ca="1">IF(ISERROR($V16),"",OFFSET('Smelter Look-up'!$C$4,$V16-4,0)&amp;"")</f>
        <v>Dowa</v>
      </c>
      <c r="S16" s="181" t="str">
        <f t="shared" ca="1" si="3"/>
        <v>JP</v>
      </c>
      <c r="T16" s="181" t="str">
        <f ca="1">IF(B16="","",IF(ISERROR(MATCH($J16,SorP!$B$1:$B$6279,0)),"",INDIRECT("'SorP'!$A$"&amp;MATCH($S16&amp;$J16,SorP!C:C,0))))</f>
        <v>JP-05</v>
      </c>
      <c r="U16" s="201"/>
      <c r="V16" s="226">
        <f>IF(C16="",NA(),IF(OR(C16="Smelter not listed",C16="Smelter not yet identified"),MATCH($B16&amp;$D16,'Smelter Look-up'!$J:$J,0),MATCH($B16&amp;$C16,'Smelter Look-up'!$J:$J,0)))</f>
        <v>67</v>
      </c>
      <c r="X16" s="227">
        <f t="shared" si="4"/>
        <v>0</v>
      </c>
      <c r="AB16" s="228" t="str">
        <f t="shared" si="5"/>
        <v>GoldDowa</v>
      </c>
    </row>
    <row r="17" spans="1:28" s="227" customFormat="1" ht="19.899999999999999" customHeight="1">
      <c r="A17" s="298" t="s">
        <v>1405</v>
      </c>
      <c r="B17" s="293" t="s">
        <v>1126</v>
      </c>
      <c r="C17" s="294" t="s">
        <v>902</v>
      </c>
      <c r="D17" s="295"/>
      <c r="E17" s="293" t="s">
        <v>15808</v>
      </c>
      <c r="F17" s="293" t="s">
        <v>1405</v>
      </c>
      <c r="G17" s="293" t="s">
        <v>13240</v>
      </c>
      <c r="H17" s="296"/>
      <c r="I17" s="297" t="s">
        <v>1574</v>
      </c>
      <c r="J17" s="297" t="s">
        <v>1575</v>
      </c>
      <c r="K17" s="224"/>
      <c r="L17" s="224"/>
      <c r="M17" s="224"/>
      <c r="N17" s="224"/>
      <c r="O17" s="224"/>
      <c r="P17" s="185"/>
      <c r="Q17" s="225"/>
      <c r="R17" s="182" t="str">
        <f ca="1">IF(ISERROR($V17),"",OFFSET('Smelter Look-up'!$C$4,$V17-4,0)&amp;"")</f>
        <v>Dowa</v>
      </c>
      <c r="S17" s="181" t="str">
        <f t="shared" ca="1" si="3"/>
        <v>JP</v>
      </c>
      <c r="T17" s="181" t="str">
        <f ca="1">IF(B17="","",IF(ISERROR(MATCH($J17,SorP!$B$1:$B$6279,0)),"",INDIRECT("'SorP'!$A$"&amp;MATCH($S17&amp;$J17,SorP!C:C,0))))</f>
        <v>JP-05</v>
      </c>
      <c r="U17" s="201"/>
      <c r="V17" s="226">
        <f>IF(C17="",NA(),IF(OR(C17="Smelter not listed",C17="Smelter not yet identified"),MATCH($B17&amp;$D17,'Smelter Look-up'!$J:$J,0),MATCH($B17&amp;$C17,'Smelter Look-up'!$J:$J,0)))</f>
        <v>417</v>
      </c>
      <c r="X17" s="227">
        <f t="shared" si="4"/>
        <v>0</v>
      </c>
      <c r="AB17" s="228" t="str">
        <f t="shared" si="5"/>
        <v>TinDowa</v>
      </c>
    </row>
    <row r="18" spans="1:28" s="227" customFormat="1" ht="19.899999999999999" customHeight="1">
      <c r="A18" s="298" t="s">
        <v>397</v>
      </c>
      <c r="B18" s="293" t="s">
        <v>1125</v>
      </c>
      <c r="C18" s="294" t="s">
        <v>13839</v>
      </c>
      <c r="D18" s="295"/>
      <c r="E18" s="293" t="s">
        <v>15808</v>
      </c>
      <c r="F18" s="293" t="s">
        <v>397</v>
      </c>
      <c r="G18" s="293" t="s">
        <v>13240</v>
      </c>
      <c r="H18" s="296"/>
      <c r="I18" s="297" t="s">
        <v>1579</v>
      </c>
      <c r="J18" s="297" t="s">
        <v>1580</v>
      </c>
      <c r="K18" s="224"/>
      <c r="L18" s="224"/>
      <c r="M18" s="224"/>
      <c r="N18" s="224"/>
      <c r="O18" s="224"/>
      <c r="P18" s="185"/>
      <c r="Q18" s="225"/>
      <c r="R18" s="182" t="str">
        <f ca="1">IF(ISERROR($V18),"",OFFSET('Smelter Look-up'!$C$4,$V18-4,0)&amp;"")</f>
        <v>Eco-System Recycling Co., Ltd. East Plant</v>
      </c>
      <c r="S18" s="181" t="str">
        <f t="shared" ca="1" si="3"/>
        <v>JP</v>
      </c>
      <c r="T18" s="181" t="str">
        <f ca="1">IF(B18="","",IF(ISERROR(MATCH($J18,SorP!$B$1:$B$6279,0)),"",INDIRECT("'SorP'!$A$"&amp;MATCH($S18&amp;$J18,SorP!C:C,0))))</f>
        <v>JP-11</v>
      </c>
      <c r="U18" s="201"/>
      <c r="V18" s="226">
        <f>IF(C18="",NA(),IF(OR(C18="Smelter not listed",C18="Smelter not yet identified"),MATCH($B18&amp;$D18,'Smelter Look-up'!$J:$J,0),MATCH($B18&amp;$C18,'Smelter Look-up'!$J:$J,0)))</f>
        <v>72</v>
      </c>
      <c r="X18" s="227">
        <f t="shared" si="4"/>
        <v>0</v>
      </c>
      <c r="AB18" s="228" t="str">
        <f t="shared" si="5"/>
        <v>GoldEco-System Recycling Co., Ltd. East Plant</v>
      </c>
    </row>
    <row r="19" spans="1:28" s="227" customFormat="1" ht="25.5">
      <c r="A19" s="298" t="s">
        <v>764</v>
      </c>
      <c r="B19" s="293" t="s">
        <v>1126</v>
      </c>
      <c r="C19" s="294" t="s">
        <v>838</v>
      </c>
      <c r="D19" s="295"/>
      <c r="E19" s="293" t="s">
        <v>15822</v>
      </c>
      <c r="F19" s="293" t="s">
        <v>764</v>
      </c>
      <c r="G19" s="293" t="s">
        <v>13240</v>
      </c>
      <c r="H19" s="296"/>
      <c r="I19" s="297" t="s">
        <v>1769</v>
      </c>
      <c r="J19" s="297" t="s">
        <v>1769</v>
      </c>
      <c r="K19" s="224"/>
      <c r="L19" s="224"/>
      <c r="M19" s="224"/>
      <c r="N19" s="224"/>
      <c r="O19" s="224"/>
      <c r="P19" s="185"/>
      <c r="Q19" s="225"/>
      <c r="R19" s="182" t="str">
        <f ca="1">IF(ISERROR($V19),"",OFFSET('Smelter Look-up'!$C$4,$V19-4,0)&amp;"")</f>
        <v>EM Vinto</v>
      </c>
      <c r="S19" s="181" t="str">
        <f t="shared" ca="1" si="3"/>
        <v>BO</v>
      </c>
      <c r="T19" s="181" t="str">
        <f ca="1">IF(B19="","",IF(ISERROR(MATCH($J19,SorP!$B$1:$B$6279,0)),"",INDIRECT("'SorP'!$A$"&amp;MATCH($S19&amp;$J19,SorP!C:C,0))))</f>
        <v>BO-O</v>
      </c>
      <c r="U19" s="201"/>
      <c r="V19" s="226">
        <f>IF(C19="",NA(),IF(OR(C19="Smelter not listed",C19="Smelter not yet identified"),MATCH($B19&amp;$D19,'Smelter Look-up'!$J:$J,0),MATCH($B19&amp;$C19,'Smelter Look-up'!$J:$J,0)))</f>
        <v>421</v>
      </c>
      <c r="X19" s="227">
        <f t="shared" si="4"/>
        <v>0</v>
      </c>
      <c r="AB19" s="228" t="str">
        <f t="shared" si="5"/>
        <v>TinEM Vinto</v>
      </c>
    </row>
    <row r="20" spans="1:28" s="227" customFormat="1" ht="20.25">
      <c r="A20" s="298" t="s">
        <v>765</v>
      </c>
      <c r="B20" s="293" t="s">
        <v>1126</v>
      </c>
      <c r="C20" s="294" t="s">
        <v>12426</v>
      </c>
      <c r="D20" s="295"/>
      <c r="E20" s="293" t="s">
        <v>15811</v>
      </c>
      <c r="F20" s="293" t="s">
        <v>765</v>
      </c>
      <c r="G20" s="293" t="s">
        <v>13240</v>
      </c>
      <c r="H20" s="296"/>
      <c r="I20" s="297" t="s">
        <v>1766</v>
      </c>
      <c r="J20" s="297" t="s">
        <v>1770</v>
      </c>
      <c r="K20" s="224"/>
      <c r="L20" s="224"/>
      <c r="M20" s="224"/>
      <c r="N20" s="224"/>
      <c r="O20" s="224"/>
      <c r="P20" s="185"/>
      <c r="Q20" s="225"/>
      <c r="R20" s="182" t="str">
        <f ca="1">IF(ISERROR($V20),"",OFFSET('Smelter Look-up'!$C$4,$V20-4,0)&amp;"")</f>
        <v>Estanho de Rondonia S.A.</v>
      </c>
      <c r="S20" s="181" t="str">
        <f t="shared" ca="1" si="3"/>
        <v>BR</v>
      </c>
      <c r="T20" s="181" t="str">
        <f ca="1">IF(B20="","",IF(ISERROR(MATCH($J20,SorP!$B$1:$B$6279,0)),"",INDIRECT("'SorP'!$A$"&amp;MATCH($S20&amp;$J20,SorP!C:C,0))))</f>
        <v>BR-RO</v>
      </c>
      <c r="U20" s="201"/>
      <c r="V20" s="226">
        <f>IF(C20="",NA(),IF(OR(C20="Smelter not listed",C20="Smelter not yet identified"),MATCH($B20&amp;$D20,'Smelter Look-up'!$J:$J,0),MATCH($B20&amp;$C20,'Smelter Look-up'!$J:$J,0)))</f>
        <v>425</v>
      </c>
      <c r="X20" s="227">
        <f t="shared" si="4"/>
        <v>0</v>
      </c>
      <c r="AB20" s="228" t="str">
        <f t="shared" si="5"/>
        <v>TinEstanho de Rondonia S.A.</v>
      </c>
    </row>
    <row r="21" spans="1:28" s="227" customFormat="1" ht="20.25">
      <c r="A21" s="298" t="s">
        <v>746</v>
      </c>
      <c r="B21" s="293" t="s">
        <v>1127</v>
      </c>
      <c r="C21" s="294" t="s">
        <v>45</v>
      </c>
      <c r="D21" s="295"/>
      <c r="E21" s="293" t="s">
        <v>15818</v>
      </c>
      <c r="F21" s="293" t="s">
        <v>746</v>
      </c>
      <c r="G21" s="293" t="s">
        <v>13240</v>
      </c>
      <c r="H21" s="296"/>
      <c r="I21" s="297" t="s">
        <v>1717</v>
      </c>
      <c r="J21" s="297" t="s">
        <v>13624</v>
      </c>
      <c r="K21" s="224"/>
      <c r="L21" s="224"/>
      <c r="M21" s="224"/>
      <c r="N21" s="224"/>
      <c r="O21" s="224"/>
      <c r="P21" s="185"/>
      <c r="Q21" s="225"/>
      <c r="R21" s="182" t="str">
        <f ca="1">IF(ISERROR($V21),"",OFFSET('Smelter Look-up'!$C$4,$V21-4,0)&amp;"")</f>
        <v>F&amp;X Electro-Materials Ltd.</v>
      </c>
      <c r="S21" s="181" t="str">
        <f t="shared" ca="1" si="3"/>
        <v>CN</v>
      </c>
      <c r="T21" s="181" t="str">
        <f ca="1">IF(B21="","",IF(ISERROR(MATCH($J21,SorP!$B$1:$B$6279,0)),"",INDIRECT("'SorP'!$A$"&amp;MATCH($S21&amp;$J21,SorP!C:C,0))))</f>
        <v>CN-GD</v>
      </c>
      <c r="U21" s="201"/>
      <c r="V21" s="226">
        <f>IF(C21="",NA(),IF(OR(C21="Smelter not listed",C21="Smelter not yet identified"),MATCH($B21&amp;$D21,'Smelter Look-up'!$J:$J,0),MATCH($B21&amp;$C21,'Smelter Look-up'!$J:$J,0)))</f>
        <v>328</v>
      </c>
      <c r="X21" s="227">
        <f t="shared" si="4"/>
        <v>0</v>
      </c>
      <c r="AB21" s="228" t="str">
        <f t="shared" si="5"/>
        <v>TantalumF&amp;X Electro-Materials Ltd.</v>
      </c>
    </row>
    <row r="22" spans="1:28" s="227" customFormat="1" ht="20.25">
      <c r="A22" s="298" t="s">
        <v>766</v>
      </c>
      <c r="B22" s="293" t="s">
        <v>1126</v>
      </c>
      <c r="C22" s="294" t="s">
        <v>811</v>
      </c>
      <c r="D22" s="295"/>
      <c r="E22" s="293" t="s">
        <v>15823</v>
      </c>
      <c r="F22" s="293" t="s">
        <v>766</v>
      </c>
      <c r="G22" s="293" t="s">
        <v>13240</v>
      </c>
      <c r="H22" s="296"/>
      <c r="I22" s="297" t="s">
        <v>1771</v>
      </c>
      <c r="J22" s="297" t="s">
        <v>9501</v>
      </c>
      <c r="K22" s="224"/>
      <c r="L22" s="224"/>
      <c r="M22" s="224"/>
      <c r="N22" s="224"/>
      <c r="O22" s="224"/>
      <c r="P22" s="185"/>
      <c r="Q22" s="225"/>
      <c r="R22" s="182" t="str">
        <f ca="1">IF(ISERROR($V22),"",OFFSET('Smelter Look-up'!$C$4,$V22-4,0)&amp;"")</f>
        <v>Fenix Metals</v>
      </c>
      <c r="S22" s="181" t="str">
        <f t="shared" ca="1" si="3"/>
        <v>PL</v>
      </c>
      <c r="T22" s="181" t="str">
        <f ca="1">IF(B22="","",IF(ISERROR(MATCH($J22,SorP!$B$1:$B$6279,0)),"",INDIRECT("'SorP'!$A$"&amp;MATCH($S22&amp;$J22,SorP!C:C,0))))</f>
        <v>PL-18</v>
      </c>
      <c r="U22" s="201"/>
      <c r="V22" s="226">
        <f>IF(C22="",NA(),IF(OR(C22="Smelter not listed",C22="Smelter not yet identified"),MATCH($B22&amp;$D22,'Smelter Look-up'!$J:$J,0),MATCH($B22&amp;$C22,'Smelter Look-up'!$J:$J,0)))</f>
        <v>430</v>
      </c>
      <c r="X22" s="227">
        <f t="shared" si="4"/>
        <v>0</v>
      </c>
      <c r="AB22" s="228" t="str">
        <f t="shared" si="5"/>
        <v>TinFenix Metals</v>
      </c>
    </row>
    <row r="23" spans="1:28" s="227" customFormat="1" ht="20.25">
      <c r="A23" s="298" t="s">
        <v>767</v>
      </c>
      <c r="B23" s="293" t="s">
        <v>1126</v>
      </c>
      <c r="C23" s="294" t="s">
        <v>2144</v>
      </c>
      <c r="D23" s="295"/>
      <c r="E23" s="293" t="s">
        <v>15818</v>
      </c>
      <c r="F23" s="293" t="s">
        <v>767</v>
      </c>
      <c r="G23" s="293" t="s">
        <v>13240</v>
      </c>
      <c r="H23" s="296"/>
      <c r="I23" s="297" t="s">
        <v>2446</v>
      </c>
      <c r="J23" s="297" t="s">
        <v>13628</v>
      </c>
      <c r="K23" s="224"/>
      <c r="L23" s="224"/>
      <c r="M23" s="224"/>
      <c r="N23" s="224"/>
      <c r="O23" s="224"/>
      <c r="P23" s="185"/>
      <c r="Q23" s="225"/>
      <c r="R23" s="182" t="str">
        <f ca="1">IF(ISERROR($V23),"",OFFSET('Smelter Look-up'!$C$4,$V23-4,0)&amp;"")</f>
        <v>Gejiu Non-Ferrous Metal Processing Co., Ltd.</v>
      </c>
      <c r="S23" s="181" t="str">
        <f t="shared" ca="1" si="3"/>
        <v>CN</v>
      </c>
      <c r="T23" s="181" t="str">
        <f ca="1">IF(B23="","",IF(ISERROR(MATCH($J23,SorP!$B$1:$B$6279,0)),"",INDIRECT("'SorP'!$A$"&amp;MATCH($S23&amp;$J23,SorP!C:C,0))))</f>
        <v>CN-YN</v>
      </c>
      <c r="U23" s="201"/>
      <c r="V23" s="226">
        <f>IF(C23="",NA(),IF(OR(C23="Smelter not listed",C23="Smelter not yet identified"),MATCH($B23&amp;$D23,'Smelter Look-up'!$J:$J,0),MATCH($B23&amp;$C23,'Smelter Look-up'!$J:$J,0)))</f>
        <v>436</v>
      </c>
      <c r="X23" s="227">
        <f t="shared" si="4"/>
        <v>0</v>
      </c>
      <c r="AB23" s="228" t="str">
        <f t="shared" si="5"/>
        <v>TinGejiu Non-Ferrous Metal Processing Co., Ltd.</v>
      </c>
    </row>
    <row r="24" spans="1:28" s="227" customFormat="1" ht="20.25">
      <c r="A24" s="298" t="s">
        <v>748</v>
      </c>
      <c r="B24" s="293" t="s">
        <v>1127</v>
      </c>
      <c r="C24" s="294" t="s">
        <v>15079</v>
      </c>
      <c r="D24" s="295"/>
      <c r="E24" s="293" t="s">
        <v>15818</v>
      </c>
      <c r="F24" s="293" t="s">
        <v>748</v>
      </c>
      <c r="G24" s="293" t="s">
        <v>13240</v>
      </c>
      <c r="H24" s="296"/>
      <c r="I24" s="297" t="s">
        <v>1719</v>
      </c>
      <c r="J24" s="297" t="s">
        <v>13624</v>
      </c>
      <c r="K24" s="224"/>
      <c r="L24" s="224"/>
      <c r="M24" s="224"/>
      <c r="N24" s="224"/>
      <c r="O24" s="224"/>
      <c r="P24" s="185"/>
      <c r="Q24" s="225"/>
      <c r="R24" s="182" t="str">
        <f ca="1">IF(ISERROR($V24),"",OFFSET('Smelter Look-up'!$C$4,$V24-4,0)&amp;"")</f>
        <v>XIMEI RESOURCES (GUANGDONG) LIMITED</v>
      </c>
      <c r="S24" s="181" t="str">
        <f t="shared" ca="1" si="3"/>
        <v>CN</v>
      </c>
      <c r="T24" s="181" t="str">
        <f ca="1">IF(B24="","",IF(ISERROR(MATCH($J24,SorP!$B$1:$B$6279,0)),"",INDIRECT("'SorP'!$A$"&amp;MATCH($S24&amp;$J24,SorP!C:C,0))))</f>
        <v>CN-GD</v>
      </c>
      <c r="U24" s="201"/>
      <c r="V24" s="226">
        <f>IF(C24="",NA(),IF(OR(C24="Smelter not listed",C24="Smelter not yet identified"),MATCH($B24&amp;$D24,'Smelter Look-up'!$J:$J,0),MATCH($B24&amp;$C24,'Smelter Look-up'!$J:$J,0)))</f>
        <v>380</v>
      </c>
      <c r="X24" s="227">
        <f t="shared" si="4"/>
        <v>0</v>
      </c>
      <c r="AB24" s="228" t="str">
        <f t="shared" si="5"/>
        <v>TantalumXIMEI RESOURCES (GUANGDONG) LIMITED</v>
      </c>
    </row>
    <row r="25" spans="1:28" s="227" customFormat="1" ht="25.5">
      <c r="A25" s="298" t="s">
        <v>2498</v>
      </c>
      <c r="B25" s="293" t="s">
        <v>1125</v>
      </c>
      <c r="C25" s="294" t="s">
        <v>13844</v>
      </c>
      <c r="D25" s="295"/>
      <c r="E25" s="293" t="s">
        <v>15821</v>
      </c>
      <c r="F25" s="293" t="s">
        <v>2498</v>
      </c>
      <c r="G25" s="293" t="s">
        <v>13240</v>
      </c>
      <c r="H25" s="296"/>
      <c r="I25" s="297" t="s">
        <v>2499</v>
      </c>
      <c r="J25" s="297" t="s">
        <v>12866</v>
      </c>
      <c r="K25" s="224"/>
      <c r="L25" s="224"/>
      <c r="M25" s="224"/>
      <c r="N25" s="224"/>
      <c r="O25" s="224"/>
      <c r="P25" s="185"/>
      <c r="Q25" s="225"/>
      <c r="R25" s="182" t="str">
        <f ca="1">IF(ISERROR($V25),"",OFFSET('Smelter Look-up'!$C$4,$V25-4,0)&amp;"")</f>
        <v>LT Metal Ltd.</v>
      </c>
      <c r="S25" s="181" t="str">
        <f t="shared" ca="1" si="3"/>
        <v>KR</v>
      </c>
      <c r="T25" s="181" t="str">
        <f ca="1">IF(B25="","",IF(ISERROR(MATCH($J25,SorP!$B$1:$B$6279,0)),"",INDIRECT("'SorP'!$A$"&amp;MATCH($S25&amp;$J25,SorP!C:C,0))))</f>
        <v>KR-28</v>
      </c>
      <c r="U25" s="201"/>
      <c r="V25" s="226">
        <f>IF(C25="",NA(),IF(OR(C25="Smelter not listed",C25="Smelter not yet identified"),MATCH($B25&amp;$D25,'Smelter Look-up'!$J:$J,0),MATCH($B25&amp;$C25,'Smelter Look-up'!$J:$J,0)))</f>
        <v>158</v>
      </c>
      <c r="X25" s="227">
        <f t="shared" si="4"/>
        <v>0</v>
      </c>
      <c r="AB25" s="228" t="str">
        <f t="shared" si="5"/>
        <v>GoldLT Metal Ltd.</v>
      </c>
    </row>
    <row r="26" spans="1:28" s="227" customFormat="1" ht="20.25">
      <c r="A26" s="298" t="s">
        <v>676</v>
      </c>
      <c r="B26" s="293" t="s">
        <v>1125</v>
      </c>
      <c r="C26" s="294" t="s">
        <v>1035</v>
      </c>
      <c r="D26" s="295"/>
      <c r="E26" s="293" t="s">
        <v>15809</v>
      </c>
      <c r="F26" s="293" t="s">
        <v>676</v>
      </c>
      <c r="G26" s="293" t="s">
        <v>13240</v>
      </c>
      <c r="H26" s="296"/>
      <c r="I26" s="297" t="s">
        <v>1542</v>
      </c>
      <c r="J26" s="297" t="s">
        <v>1543</v>
      </c>
      <c r="K26" s="224"/>
      <c r="L26" s="224"/>
      <c r="M26" s="224"/>
      <c r="N26" s="224"/>
      <c r="O26" s="224"/>
      <c r="P26" s="185"/>
      <c r="Q26" s="225"/>
      <c r="R26" s="182" t="str">
        <f ca="1">IF(ISERROR($V26),"",OFFSET('Smelter Look-up'!$C$4,$V26-4,0)&amp;"")</f>
        <v>Heimerle + Meule GmbH</v>
      </c>
      <c r="S26" s="181" t="str">
        <f t="shared" ca="1" si="3"/>
        <v>DE</v>
      </c>
      <c r="T26" s="181" t="str">
        <f ca="1">IF(B26="","",IF(ISERROR(MATCH($J26,SorP!$B$1:$B$6279,0)),"",INDIRECT("'SorP'!$A$"&amp;MATCH($S26&amp;$J26,SorP!C:C,0))))</f>
        <v>DE-BW</v>
      </c>
      <c r="U26" s="201"/>
      <c r="V26" s="226">
        <f>IF(C26="",NA(),IF(OR(C26="Smelter not listed",C26="Smelter not yet identified"),MATCH($B26&amp;$D26,'Smelter Look-up'!$J:$J,0),MATCH($B26&amp;$C26,'Smelter Look-up'!$J:$J,0)))</f>
        <v>101</v>
      </c>
      <c r="X26" s="227">
        <f t="shared" si="4"/>
        <v>0</v>
      </c>
      <c r="AB26" s="228" t="str">
        <f t="shared" si="5"/>
        <v>GoldHeimerle + Meule GmbH</v>
      </c>
    </row>
    <row r="27" spans="1:28" s="227" customFormat="1" ht="20.25">
      <c r="A27" s="298" t="s">
        <v>677</v>
      </c>
      <c r="B27" s="293" t="s">
        <v>1125</v>
      </c>
      <c r="C27" s="294" t="s">
        <v>2500</v>
      </c>
      <c r="D27" s="295"/>
      <c r="E27" s="293" t="s">
        <v>15818</v>
      </c>
      <c r="F27" s="293" t="s">
        <v>677</v>
      </c>
      <c r="G27" s="293" t="s">
        <v>13240</v>
      </c>
      <c r="H27" s="296"/>
      <c r="I27" s="297" t="s">
        <v>1588</v>
      </c>
      <c r="J27" s="297" t="s">
        <v>15824</v>
      </c>
      <c r="K27" s="224"/>
      <c r="L27" s="224"/>
      <c r="M27" s="224"/>
      <c r="N27" s="224"/>
      <c r="O27" s="224"/>
      <c r="P27" s="185"/>
      <c r="Q27" s="225"/>
      <c r="R27" s="182" t="str">
        <f ca="1">IF(ISERROR($V27),"",OFFSET('Smelter Look-up'!$C$4,$V27-4,0)&amp;"")</f>
        <v>Heraeus Metals Hong Kong Ltd.</v>
      </c>
      <c r="S27" s="181" t="str">
        <f t="shared" ca="1" si="3"/>
        <v>CN</v>
      </c>
      <c r="T27" s="181" t="str">
        <f ca="1">IF(B27="","",IF(ISERROR(MATCH($J27,SorP!$B$1:$B$6279,0)),"",INDIRECT("'SorP'!$A$"&amp;MATCH($S27&amp;$J27,SorP!C:C,0))))</f>
        <v/>
      </c>
      <c r="U27" s="201"/>
      <c r="V27" s="226">
        <f>IF(C27="",NA(),IF(OR(C27="Smelter not listed",C27="Smelter not yet identified"),MATCH($B27&amp;$D27,'Smelter Look-up'!$J:$J,0),MATCH($B27&amp;$C27,'Smelter Look-up'!$J:$J,0)))</f>
        <v>107</v>
      </c>
      <c r="X27" s="227">
        <f t="shared" si="4"/>
        <v>0</v>
      </c>
      <c r="AB27" s="228" t="str">
        <f t="shared" si="5"/>
        <v>GoldHeraeus Metals Hong Kong Ltd.</v>
      </c>
    </row>
    <row r="28" spans="1:28" s="227" customFormat="1" ht="20.25">
      <c r="A28" s="298" t="s">
        <v>678</v>
      </c>
      <c r="B28" s="293" t="s">
        <v>1125</v>
      </c>
      <c r="C28" s="294" t="s">
        <v>15058</v>
      </c>
      <c r="D28" s="295"/>
      <c r="E28" s="293" t="s">
        <v>15809</v>
      </c>
      <c r="F28" s="293" t="s">
        <v>678</v>
      </c>
      <c r="G28" s="293" t="s">
        <v>13240</v>
      </c>
      <c r="H28" s="296"/>
      <c r="I28" s="297" t="s">
        <v>1589</v>
      </c>
      <c r="J28" s="297" t="s">
        <v>4244</v>
      </c>
      <c r="K28" s="224"/>
      <c r="L28" s="224"/>
      <c r="M28" s="224"/>
      <c r="N28" s="224"/>
      <c r="O28" s="224"/>
      <c r="P28" s="185"/>
      <c r="Q28" s="225"/>
      <c r="R28" s="182" t="str">
        <f ca="1">IF(ISERROR($V28),"",OFFSET('Smelter Look-up'!$C$4,$V28-4,0)&amp;"")</f>
        <v>Heraeus Germany GmbH Co. KG</v>
      </c>
      <c r="S28" s="181" t="str">
        <f t="shared" ca="1" si="3"/>
        <v>DE</v>
      </c>
      <c r="T28" s="181" t="str">
        <f ca="1">IF(B28="","",IF(ISERROR(MATCH($J28,SorP!$B$1:$B$6279,0)),"",INDIRECT("'SorP'!$A$"&amp;MATCH($S28&amp;$J28,SorP!C:C,0))))</f>
        <v>DE-HE</v>
      </c>
      <c r="U28" s="201"/>
      <c r="V28" s="226">
        <f>IF(C28="",NA(),IF(OR(C28="Smelter not listed",C28="Smelter not yet identified"),MATCH($B28&amp;$D28,'Smelter Look-up'!$J:$J,0),MATCH($B28&amp;$C28,'Smelter Look-up'!$J:$J,0)))</f>
        <v>105</v>
      </c>
      <c r="X28" s="227">
        <f t="shared" si="4"/>
        <v>0</v>
      </c>
      <c r="AB28" s="228" t="str">
        <f t="shared" si="5"/>
        <v>GoldHeraeus Germany GmbH Co. KG</v>
      </c>
    </row>
    <row r="29" spans="1:28" s="227" customFormat="1" ht="20.25">
      <c r="A29" s="298" t="s">
        <v>793</v>
      </c>
      <c r="B29" s="293" t="s">
        <v>1128</v>
      </c>
      <c r="C29" s="294" t="s">
        <v>2213</v>
      </c>
      <c r="D29" s="295"/>
      <c r="E29" s="293" t="s">
        <v>15818</v>
      </c>
      <c r="F29" s="293" t="s">
        <v>793</v>
      </c>
      <c r="G29" s="293" t="s">
        <v>13240</v>
      </c>
      <c r="H29" s="296"/>
      <c r="I29" s="297" t="s">
        <v>2134</v>
      </c>
      <c r="J29" s="297" t="s">
        <v>13623</v>
      </c>
      <c r="K29" s="224"/>
      <c r="L29" s="224"/>
      <c r="M29" s="224"/>
      <c r="N29" s="224"/>
      <c r="O29" s="224"/>
      <c r="P29" s="185"/>
      <c r="Q29" s="225"/>
      <c r="R29" s="182" t="str">
        <f ca="1">IF(ISERROR($V29),"",OFFSET('Smelter Look-up'!$C$4,$V29-4,0)&amp;"")</f>
        <v>Hunan Chenzhou Mining Co., Ltd.</v>
      </c>
      <c r="S29" s="181" t="str">
        <f t="shared" ca="1" si="3"/>
        <v>CN</v>
      </c>
      <c r="T29" s="181" t="str">
        <f ca="1">IF(B29="","",IF(ISERROR(MATCH($J29,SorP!$B$1:$B$6279,0)),"",INDIRECT("'SorP'!$A$"&amp;MATCH($S29&amp;$J29,SorP!C:C,0))))</f>
        <v>CN-HN</v>
      </c>
      <c r="U29" s="201"/>
      <c r="V29" s="226">
        <f>IF(C29="",NA(),IF(OR(C29="Smelter not listed",C29="Smelter not yet identified"),MATCH($B29&amp;$D29,'Smelter Look-up'!$J:$J,0),MATCH($B29&amp;$C29,'Smelter Look-up'!$J:$J,0)))</f>
        <v>594</v>
      </c>
      <c r="X29" s="227">
        <f t="shared" si="4"/>
        <v>0</v>
      </c>
      <c r="AB29" s="228" t="str">
        <f t="shared" si="5"/>
        <v>TungstenHunan Chenzhou Mining Co., Ltd.</v>
      </c>
    </row>
    <row r="30" spans="1:28" s="227" customFormat="1" ht="25.5">
      <c r="A30" s="298" t="s">
        <v>681</v>
      </c>
      <c r="B30" s="293" t="s">
        <v>1125</v>
      </c>
      <c r="C30" s="294" t="s">
        <v>2298</v>
      </c>
      <c r="D30" s="295"/>
      <c r="E30" s="293" t="s">
        <v>15818</v>
      </c>
      <c r="F30" s="293" t="s">
        <v>681</v>
      </c>
      <c r="G30" s="293" t="s">
        <v>13240</v>
      </c>
      <c r="H30" s="296"/>
      <c r="I30" s="297" t="s">
        <v>1593</v>
      </c>
      <c r="J30" s="297" t="s">
        <v>13602</v>
      </c>
      <c r="K30" s="224"/>
      <c r="L30" s="224"/>
      <c r="M30" s="224"/>
      <c r="N30" s="224"/>
      <c r="O30" s="224"/>
      <c r="P30" s="185"/>
      <c r="Q30" s="225"/>
      <c r="R30" s="182" t="str">
        <f ca="1">IF(ISERROR($V30),"",OFFSET('Smelter Look-up'!$C$4,$V30-4,0)&amp;"")</f>
        <v>Inner Mongolia Qiankun Gold and Silver Refinery Share Co., Ltd.</v>
      </c>
      <c r="S30" s="181" t="str">
        <f t="shared" ca="1" si="3"/>
        <v>CN</v>
      </c>
      <c r="T30" s="181" t="str">
        <f ca="1">IF(B30="","",IF(ISERROR(MATCH($J30,SorP!$B$1:$B$6279,0)),"",INDIRECT("'SorP'!$A$"&amp;MATCH($S30&amp;$J30,SorP!C:C,0))))</f>
        <v>CN-NM</v>
      </c>
      <c r="U30" s="201"/>
      <c r="V30" s="226">
        <f>IF(C30="",NA(),IF(OR(C30="Smelter not listed",C30="Smelter not yet identified"),MATCH($B30&amp;$D30,'Smelter Look-up'!$J:$J,0),MATCH($B30&amp;$C30,'Smelter Look-up'!$J:$J,0)))</f>
        <v>116</v>
      </c>
      <c r="X30" s="227">
        <f t="shared" si="4"/>
        <v>0</v>
      </c>
      <c r="AB30" s="228" t="str">
        <f t="shared" si="5"/>
        <v>GoldInner Mongolia Qiankun Gold and Silver Refinery Share Co., Ltd.</v>
      </c>
    </row>
    <row r="31" spans="1:28" s="227" customFormat="1" ht="20.25">
      <c r="A31" s="298" t="s">
        <v>682</v>
      </c>
      <c r="B31" s="293" t="s">
        <v>1125</v>
      </c>
      <c r="C31" s="294" t="s">
        <v>1223</v>
      </c>
      <c r="D31" s="295"/>
      <c r="E31" s="293" t="s">
        <v>15808</v>
      </c>
      <c r="F31" s="293" t="s">
        <v>682</v>
      </c>
      <c r="G31" s="293" t="s">
        <v>13240</v>
      </c>
      <c r="H31" s="296"/>
      <c r="I31" s="297" t="s">
        <v>1594</v>
      </c>
      <c r="J31" s="297" t="s">
        <v>1580</v>
      </c>
      <c r="K31" s="224"/>
      <c r="L31" s="224"/>
      <c r="M31" s="224"/>
      <c r="N31" s="224"/>
      <c r="O31" s="224"/>
      <c r="P31" s="185"/>
      <c r="Q31" s="225"/>
      <c r="R31" s="182" t="str">
        <f ca="1">IF(ISERROR($V31),"",OFFSET('Smelter Look-up'!$C$4,$V31-4,0)&amp;"")</f>
        <v>Ishifuku Metal Industry Co., Ltd.</v>
      </c>
      <c r="S31" s="181" t="str">
        <f t="shared" ca="1" si="3"/>
        <v>JP</v>
      </c>
      <c r="T31" s="181" t="str">
        <f ca="1">IF(B31="","",IF(ISERROR(MATCH($J31,SorP!$B$1:$B$6279,0)),"",INDIRECT("'SorP'!$A$"&amp;MATCH($S31&amp;$J31,SorP!C:C,0))))</f>
        <v>JP-11</v>
      </c>
      <c r="U31" s="201"/>
      <c r="V31" s="226">
        <f>IF(C31="",NA(),IF(OR(C31="Smelter not listed",C31="Smelter not yet identified"),MATCH($B31&amp;$D31,'Smelter Look-up'!$J:$J,0),MATCH($B31&amp;$C31,'Smelter Look-up'!$J:$J,0)))</f>
        <v>118</v>
      </c>
      <c r="X31" s="227">
        <f t="shared" si="4"/>
        <v>0</v>
      </c>
      <c r="AB31" s="228" t="str">
        <f t="shared" si="5"/>
        <v>GoldIshifuku Metal Industry Co., Ltd.</v>
      </c>
    </row>
    <row r="32" spans="1:28" s="227" customFormat="1" ht="20.25">
      <c r="A32" s="298" t="s">
        <v>683</v>
      </c>
      <c r="B32" s="293" t="s">
        <v>1125</v>
      </c>
      <c r="C32" s="294" t="s">
        <v>1230</v>
      </c>
      <c r="D32" s="295"/>
      <c r="E32" s="293" t="s">
        <v>15813</v>
      </c>
      <c r="F32" s="293" t="s">
        <v>683</v>
      </c>
      <c r="G32" s="293" t="s">
        <v>13240</v>
      </c>
      <c r="H32" s="296"/>
      <c r="I32" s="297" t="s">
        <v>1595</v>
      </c>
      <c r="J32" s="297" t="s">
        <v>11268</v>
      </c>
      <c r="K32" s="224"/>
      <c r="L32" s="224"/>
      <c r="M32" s="224"/>
      <c r="N32" s="224"/>
      <c r="O32" s="224"/>
      <c r="P32" s="185"/>
      <c r="Q32" s="225"/>
      <c r="R32" s="182" t="str">
        <f ca="1">IF(ISERROR($V32),"",OFFSET('Smelter Look-up'!$C$4,$V32-4,0)&amp;"")</f>
        <v>Istanbul Gold Refinery</v>
      </c>
      <c r="S32" s="181" t="str">
        <f t="shared" ca="1" si="3"/>
        <v>TR</v>
      </c>
      <c r="T32" s="181" t="str">
        <f ca="1">IF(B32="","",IF(ISERROR(MATCH($J32,SorP!$B$1:$B$6279,0)),"",INDIRECT("'SorP'!$A$"&amp;MATCH($S32&amp;$J32,SorP!C:C,0))))</f>
        <v>TR-34</v>
      </c>
      <c r="U32" s="201"/>
      <c r="V32" s="226">
        <f>IF(C32="",NA(),IF(OR(C32="Smelter not listed",C32="Smelter not yet identified"),MATCH($B32&amp;$D32,'Smelter Look-up'!$J:$J,0),MATCH($B32&amp;$C32,'Smelter Look-up'!$J:$J,0)))</f>
        <v>119</v>
      </c>
      <c r="X32" s="227">
        <f t="shared" si="4"/>
        <v>0</v>
      </c>
      <c r="AB32" s="228" t="str">
        <f t="shared" si="5"/>
        <v>GoldIstanbul Gold Refinery</v>
      </c>
    </row>
    <row r="33" spans="1:28" s="227" customFormat="1" ht="20.25">
      <c r="A33" s="298" t="s">
        <v>684</v>
      </c>
      <c r="B33" s="293" t="s">
        <v>1125</v>
      </c>
      <c r="C33" s="294" t="s">
        <v>904</v>
      </c>
      <c r="D33" s="295"/>
      <c r="E33" s="293" t="s">
        <v>15808</v>
      </c>
      <c r="F33" s="293" t="s">
        <v>684</v>
      </c>
      <c r="G33" s="293" t="s">
        <v>13240</v>
      </c>
      <c r="H33" s="296"/>
      <c r="I33" s="297" t="s">
        <v>1596</v>
      </c>
      <c r="J33" s="297" t="s">
        <v>1596</v>
      </c>
      <c r="K33" s="224"/>
      <c r="L33" s="224"/>
      <c r="M33" s="224"/>
      <c r="N33" s="224"/>
      <c r="O33" s="224"/>
      <c r="P33" s="185"/>
      <c r="Q33" s="225"/>
      <c r="R33" s="182" t="str">
        <f ca="1">IF(ISERROR($V33),"",OFFSET('Smelter Look-up'!$C$4,$V33-4,0)&amp;"")</f>
        <v>Japan Mint</v>
      </c>
      <c r="S33" s="181" t="str">
        <f t="shared" ca="1" si="3"/>
        <v>JP</v>
      </c>
      <c r="T33" s="181" t="str">
        <f ca="1">IF(B33="","",IF(ISERROR(MATCH($J33,SorP!$B$1:$B$6279,0)),"",INDIRECT("'SorP'!$A$"&amp;MATCH($S33&amp;$J33,SorP!C:C,0))))</f>
        <v>JP-27</v>
      </c>
      <c r="U33" s="201"/>
      <c r="V33" s="226">
        <f>IF(C33="",NA(),IF(OR(C33="Smelter not listed",C33="Smelter not yet identified"),MATCH($B33&amp;$D33,'Smelter Look-up'!$J:$J,0),MATCH($B33&amp;$C33,'Smelter Look-up'!$J:$J,0)))</f>
        <v>122</v>
      </c>
      <c r="X33" s="227">
        <f t="shared" si="4"/>
        <v>0</v>
      </c>
      <c r="AB33" s="228" t="str">
        <f t="shared" si="5"/>
        <v>GoldJapan Mint</v>
      </c>
    </row>
    <row r="34" spans="1:28" s="227" customFormat="1" ht="20.25">
      <c r="A34" s="298" t="s">
        <v>795</v>
      </c>
      <c r="B34" s="293" t="s">
        <v>1128</v>
      </c>
      <c r="C34" s="294" t="s">
        <v>1377</v>
      </c>
      <c r="D34" s="295"/>
      <c r="E34" s="293" t="s">
        <v>15808</v>
      </c>
      <c r="F34" s="293" t="s">
        <v>795</v>
      </c>
      <c r="G34" s="293" t="s">
        <v>13240</v>
      </c>
      <c r="H34" s="296"/>
      <c r="I34" s="297" t="s">
        <v>2135</v>
      </c>
      <c r="J34" s="297" t="s">
        <v>1575</v>
      </c>
      <c r="K34" s="224"/>
      <c r="L34" s="224"/>
      <c r="M34" s="224"/>
      <c r="N34" s="224"/>
      <c r="O34" s="224"/>
      <c r="P34" s="185"/>
      <c r="Q34" s="225"/>
      <c r="R34" s="182" t="str">
        <f ca="1">IF(ISERROR($V34),"",OFFSET('Smelter Look-up'!$C$4,$V34-4,0)&amp;"")</f>
        <v>Japan New Metals Co., Ltd.</v>
      </c>
      <c r="S34" s="181" t="str">
        <f t="shared" ca="1" si="3"/>
        <v>JP</v>
      </c>
      <c r="T34" s="181" t="str">
        <f ca="1">IF(B34="","",IF(ISERROR(MATCH($J34,SorP!$B$1:$B$6279,0)),"",INDIRECT("'SorP'!$A$"&amp;MATCH($S34&amp;$J34,SorP!C:C,0))))</f>
        <v>JP-05</v>
      </c>
      <c r="U34" s="201"/>
      <c r="V34" s="226">
        <f>IF(C34="",NA(),IF(OR(C34="Smelter not listed",C34="Smelter not yet identified"),MATCH($B34&amp;$D34,'Smelter Look-up'!$J:$J,0),MATCH($B34&amp;$C34,'Smelter Look-up'!$J:$J,0)))</f>
        <v>600</v>
      </c>
      <c r="X34" s="227">
        <f t="shared" si="4"/>
        <v>0</v>
      </c>
      <c r="AB34" s="228" t="str">
        <f t="shared" si="5"/>
        <v>TungstenJapan New Metals Co., Ltd.</v>
      </c>
    </row>
    <row r="35" spans="1:28" s="227" customFormat="1" ht="20.25">
      <c r="A35" s="298" t="s">
        <v>685</v>
      </c>
      <c r="B35" s="293" t="s">
        <v>1125</v>
      </c>
      <c r="C35" s="294" t="s">
        <v>2299</v>
      </c>
      <c r="D35" s="295"/>
      <c r="E35" s="293" t="s">
        <v>15818</v>
      </c>
      <c r="F35" s="293" t="s">
        <v>685</v>
      </c>
      <c r="G35" s="293" t="s">
        <v>13240</v>
      </c>
      <c r="H35" s="296"/>
      <c r="I35" s="297" t="s">
        <v>1597</v>
      </c>
      <c r="J35" s="297" t="s">
        <v>13619</v>
      </c>
      <c r="K35" s="224"/>
      <c r="L35" s="224"/>
      <c r="M35" s="224"/>
      <c r="N35" s="224"/>
      <c r="O35" s="224"/>
      <c r="P35" s="185"/>
      <c r="Q35" s="225"/>
      <c r="R35" s="182" t="str">
        <f ca="1">IF(ISERROR($V35),"",OFFSET('Smelter Look-up'!$C$4,$V35-4,0)&amp;"")</f>
        <v>Jiangxi Copper Co., Ltd.</v>
      </c>
      <c r="S35" s="181" t="str">
        <f t="shared" ca="1" si="3"/>
        <v>CN</v>
      </c>
      <c r="T35" s="181" t="str">
        <f ca="1">IF(B35="","",IF(ISERROR(MATCH($J35,SorP!$B$1:$B$6279,0)),"",INDIRECT("'SorP'!$A$"&amp;MATCH($S35&amp;$J35,SorP!C:C,0))))</f>
        <v>CN-JX</v>
      </c>
      <c r="U35" s="201"/>
      <c r="V35" s="226">
        <f>IF(C35="",NA(),IF(OR(C35="Smelter not listed",C35="Smelter not yet identified"),MATCH($B35&amp;$D35,'Smelter Look-up'!$J:$J,0),MATCH($B35&amp;$C35,'Smelter Look-up'!$J:$J,0)))</f>
        <v>124</v>
      </c>
      <c r="X35" s="227">
        <f t="shared" si="4"/>
        <v>0</v>
      </c>
      <c r="AB35" s="228" t="str">
        <f t="shared" si="5"/>
        <v>GoldJiangxi Copper Co., Ltd.</v>
      </c>
    </row>
    <row r="36" spans="1:28" s="227" customFormat="1" ht="20.25">
      <c r="A36" s="298" t="s">
        <v>749</v>
      </c>
      <c r="B36" s="293" t="s">
        <v>1127</v>
      </c>
      <c r="C36" s="294" t="s">
        <v>4</v>
      </c>
      <c r="D36" s="295"/>
      <c r="E36" s="293" t="s">
        <v>15818</v>
      </c>
      <c r="F36" s="293" t="s">
        <v>749</v>
      </c>
      <c r="G36" s="293" t="s">
        <v>13240</v>
      </c>
      <c r="H36" s="296"/>
      <c r="I36" s="297" t="s">
        <v>1720</v>
      </c>
      <c r="J36" s="297" t="s">
        <v>13619</v>
      </c>
      <c r="K36" s="224"/>
      <c r="L36" s="224"/>
      <c r="M36" s="224"/>
      <c r="N36" s="224"/>
      <c r="O36" s="224"/>
      <c r="P36" s="185"/>
      <c r="Q36" s="225"/>
      <c r="R36" s="182" t="str">
        <f ca="1">IF(ISERROR($V36),"",OFFSET('Smelter Look-up'!$C$4,$V36-4,0)&amp;"")</f>
        <v>JiuJiang JinXin Nonferrous Metals Co., Ltd.</v>
      </c>
      <c r="S36" s="181" t="str">
        <f t="shared" ca="1" si="3"/>
        <v>CN</v>
      </c>
      <c r="T36" s="181" t="str">
        <f ca="1">IF(B36="","",IF(ISERROR(MATCH($J36,SorP!$B$1:$B$6279,0)),"",INDIRECT("'SorP'!$A$"&amp;MATCH($S36&amp;$J36,SorP!C:C,0))))</f>
        <v>CN-JX</v>
      </c>
      <c r="U36" s="201"/>
      <c r="V36" s="226">
        <f>IF(C36="",NA(),IF(OR(C36="Smelter not listed",C36="Smelter not yet identified"),MATCH($B36&amp;$D36,'Smelter Look-up'!$J:$J,0),MATCH($B36&amp;$C36,'Smelter Look-up'!$J:$J,0)))</f>
        <v>341</v>
      </c>
      <c r="X36" s="227">
        <f t="shared" si="4"/>
        <v>0</v>
      </c>
      <c r="AB36" s="228" t="str">
        <f t="shared" si="5"/>
        <v>TantalumJiuJiang JinXin Nonferrous Metals Co., Ltd.</v>
      </c>
    </row>
    <row r="37" spans="1:28" s="227" customFormat="1" ht="20.25">
      <c r="A37" s="298" t="s">
        <v>750</v>
      </c>
      <c r="B37" s="293" t="s">
        <v>1127</v>
      </c>
      <c r="C37" s="294" t="s">
        <v>46</v>
      </c>
      <c r="D37" s="295"/>
      <c r="E37" s="293" t="s">
        <v>15818</v>
      </c>
      <c r="F37" s="293" t="s">
        <v>750</v>
      </c>
      <c r="G37" s="293" t="s">
        <v>13240</v>
      </c>
      <c r="H37" s="296"/>
      <c r="I37" s="297" t="s">
        <v>1720</v>
      </c>
      <c r="J37" s="297" t="s">
        <v>13619</v>
      </c>
      <c r="K37" s="224"/>
      <c r="L37" s="224"/>
      <c r="M37" s="224"/>
      <c r="N37" s="224"/>
      <c r="O37" s="224"/>
      <c r="P37" s="185"/>
      <c r="Q37" s="225"/>
      <c r="R37" s="182" t="str">
        <f ca="1">IF(ISERROR($V37),"",OFFSET('Smelter Look-up'!$C$4,$V37-4,0)&amp;"")</f>
        <v>Jiujiang Tanbre Co., Ltd.</v>
      </c>
      <c r="S37" s="181" t="str">
        <f t="shared" ca="1" si="3"/>
        <v>CN</v>
      </c>
      <c r="T37" s="181" t="str">
        <f ca="1">IF(B37="","",IF(ISERROR(MATCH($J37,SorP!$B$1:$B$6279,0)),"",INDIRECT("'SorP'!$A$"&amp;MATCH($S37&amp;$J37,SorP!C:C,0))))</f>
        <v>CN-JX</v>
      </c>
      <c r="U37" s="201"/>
      <c r="V37" s="226">
        <f>IF(C37="",NA(),IF(OR(C37="Smelter not listed",C37="Smelter not yet identified"),MATCH($B37&amp;$D37,'Smelter Look-up'!$J:$J,0),MATCH($B37&amp;$C37,'Smelter Look-up'!$J:$J,0)))</f>
        <v>343</v>
      </c>
      <c r="X37" s="227">
        <f t="shared" si="4"/>
        <v>0</v>
      </c>
      <c r="AB37" s="228" t="str">
        <f t="shared" si="5"/>
        <v>TantalumJiujiang Tanbre Co., Ltd.</v>
      </c>
    </row>
    <row r="38" spans="1:28" s="227" customFormat="1" ht="25.5">
      <c r="A38" s="298" t="s">
        <v>686</v>
      </c>
      <c r="B38" s="293" t="s">
        <v>1125</v>
      </c>
      <c r="C38" s="294" t="s">
        <v>2200</v>
      </c>
      <c r="D38" s="295"/>
      <c r="E38" s="293" t="s">
        <v>15814</v>
      </c>
      <c r="F38" s="293" t="s">
        <v>686</v>
      </c>
      <c r="G38" s="293" t="s">
        <v>13240</v>
      </c>
      <c r="H38" s="296"/>
      <c r="I38" s="297" t="s">
        <v>1599</v>
      </c>
      <c r="J38" s="297" t="s">
        <v>1600</v>
      </c>
      <c r="K38" s="224"/>
      <c r="L38" s="224"/>
      <c r="M38" s="224"/>
      <c r="N38" s="224"/>
      <c r="O38" s="224"/>
      <c r="P38" s="185"/>
      <c r="Q38" s="225"/>
      <c r="R38" s="182" t="str">
        <f ca="1">IF(ISERROR($V38),"",OFFSET('Smelter Look-up'!$C$4,$V38-4,0)&amp;"")</f>
        <v>Asahi Refining USA Inc.</v>
      </c>
      <c r="S38" s="181" t="str">
        <f t="shared" ref="S38:S68" ca="1" si="6">IF(B38="","",IF(ISERROR(MATCH($E38,CL,0)),"Unknown",INDIRECT("'C'!$A$"&amp;MATCH($E38,CL,0)+1)))</f>
        <v>US</v>
      </c>
      <c r="T38" s="181" t="str">
        <f ca="1">IF(B38="","",IF(ISERROR(MATCH($J38,SorP!$B$1:$B$6279,0)),"",INDIRECT("'SorP'!$A$"&amp;MATCH($S38&amp;$J38,SorP!C:C,0))))</f>
        <v>US-UT</v>
      </c>
      <c r="U38" s="201"/>
      <c r="V38" s="226">
        <f>IF(C38="",NA(),IF(OR(C38="Smelter not listed",C38="Smelter not yet identified"),MATCH($B38&amp;$D38,'Smelter Look-up'!$J:$J,0),MATCH($B38&amp;$C38,'Smelter Look-up'!$J:$J,0)))</f>
        <v>31</v>
      </c>
      <c r="X38" s="227">
        <f t="shared" ref="X38:X68" si="7">IF(AND(C38="Smelter not listed",OR(LEN(D38)=0,LEN(E38)=0)),1,0)</f>
        <v>0</v>
      </c>
      <c r="AB38" s="228" t="str">
        <f t="shared" ref="AB38:AB68" si="8">B38&amp;C38</f>
        <v>GoldAsahi Refining USA Inc.</v>
      </c>
    </row>
    <row r="39" spans="1:28" s="227" customFormat="1" ht="20.25">
      <c r="A39" s="298" t="s">
        <v>687</v>
      </c>
      <c r="B39" s="293" t="s">
        <v>1125</v>
      </c>
      <c r="C39" s="294" t="s">
        <v>2286</v>
      </c>
      <c r="D39" s="295"/>
      <c r="E39" s="293" t="s">
        <v>15817</v>
      </c>
      <c r="F39" s="293" t="s">
        <v>687</v>
      </c>
      <c r="G39" s="293" t="s">
        <v>13240</v>
      </c>
      <c r="H39" s="296"/>
      <c r="I39" s="297" t="s">
        <v>1602</v>
      </c>
      <c r="J39" s="297" t="s">
        <v>1603</v>
      </c>
      <c r="K39" s="224"/>
      <c r="L39" s="224"/>
      <c r="M39" s="224"/>
      <c r="N39" s="224"/>
      <c r="O39" s="224"/>
      <c r="P39" s="185"/>
      <c r="Q39" s="225"/>
      <c r="R39" s="182" t="str">
        <f ca="1">IF(ISERROR($V39),"",OFFSET('Smelter Look-up'!$C$4,$V39-4,0)&amp;"")</f>
        <v>Asahi Refining Canada Ltd.</v>
      </c>
      <c r="S39" s="181" t="str">
        <f t="shared" ca="1" si="6"/>
        <v>CA</v>
      </c>
      <c r="T39" s="181" t="str">
        <f ca="1">IF(B39="","",IF(ISERROR(MATCH($J39,SorP!$B$1:$B$6279,0)),"",INDIRECT("'SorP'!$A$"&amp;MATCH($S39&amp;$J39,SorP!C:C,0))))</f>
        <v>CA-ON</v>
      </c>
      <c r="U39" s="201"/>
      <c r="V39" s="226">
        <f>IF(C39="",NA(),IF(OR(C39="Smelter not listed",C39="Smelter not yet identified"),MATCH($B39&amp;$D39,'Smelter Look-up'!$J:$J,0),MATCH($B39&amp;$C39,'Smelter Look-up'!$J:$J,0)))</f>
        <v>30</v>
      </c>
      <c r="X39" s="227">
        <f t="shared" si="7"/>
        <v>0</v>
      </c>
      <c r="AB39" s="228" t="str">
        <f t="shared" si="8"/>
        <v>GoldAsahi Refining Canada Ltd.</v>
      </c>
    </row>
    <row r="40" spans="1:28" s="227" customFormat="1" ht="20.25">
      <c r="A40" s="298" t="s">
        <v>690</v>
      </c>
      <c r="B40" s="293" t="s">
        <v>1125</v>
      </c>
      <c r="C40" s="294" t="s">
        <v>55</v>
      </c>
      <c r="D40" s="295"/>
      <c r="E40" s="293" t="s">
        <v>15808</v>
      </c>
      <c r="F40" s="293" t="s">
        <v>690</v>
      </c>
      <c r="G40" s="293" t="s">
        <v>13240</v>
      </c>
      <c r="H40" s="296"/>
      <c r="I40" s="297" t="s">
        <v>2362</v>
      </c>
      <c r="J40" s="297" t="s">
        <v>6664</v>
      </c>
      <c r="K40" s="224"/>
      <c r="L40" s="224"/>
      <c r="M40" s="224"/>
      <c r="N40" s="224"/>
      <c r="O40" s="224"/>
      <c r="P40" s="185"/>
      <c r="Q40" s="225"/>
      <c r="R40" s="182" t="str">
        <f ca="1">IF(ISERROR($V40),"",OFFSET('Smelter Look-up'!$C$4,$V40-4,0)&amp;"")</f>
        <v>JX Nippon Mining &amp; Metals Co., Ltd.</v>
      </c>
      <c r="S40" s="181" t="str">
        <f t="shared" ca="1" si="6"/>
        <v>JP</v>
      </c>
      <c r="T40" s="181" t="str">
        <f ca="1">IF(B40="","",IF(ISERROR(MATCH($J40,SorP!$B$1:$B$6279,0)),"",INDIRECT("'SorP'!$A$"&amp;MATCH($S40&amp;$J40,SorP!C:C,0))))</f>
        <v>JP-44</v>
      </c>
      <c r="U40" s="201"/>
      <c r="V40" s="226">
        <f>IF(C40="",NA(),IF(OR(C40="Smelter not listed",C40="Smelter not yet identified"),MATCH($B40&amp;$D40,'Smelter Look-up'!$J:$J,0),MATCH($B40&amp;$C40,'Smelter Look-up'!$J:$J,0)))</f>
        <v>132</v>
      </c>
      <c r="X40" s="227">
        <f t="shared" si="7"/>
        <v>0</v>
      </c>
      <c r="AB40" s="228" t="str">
        <f t="shared" si="8"/>
        <v>GoldJX Nippon Mining &amp; Metals Co., Ltd.</v>
      </c>
    </row>
    <row r="41" spans="1:28" s="227" customFormat="1" ht="20.25">
      <c r="A41" s="298" t="s">
        <v>691</v>
      </c>
      <c r="B41" s="293" t="s">
        <v>1125</v>
      </c>
      <c r="C41" s="294" t="s">
        <v>1605</v>
      </c>
      <c r="D41" s="295"/>
      <c r="E41" s="293" t="s">
        <v>15825</v>
      </c>
      <c r="F41" s="293" t="s">
        <v>691</v>
      </c>
      <c r="G41" s="293" t="s">
        <v>13240</v>
      </c>
      <c r="H41" s="296"/>
      <c r="I41" s="297" t="s">
        <v>1606</v>
      </c>
      <c r="J41" s="297" t="s">
        <v>7058</v>
      </c>
      <c r="K41" s="224"/>
      <c r="L41" s="224"/>
      <c r="M41" s="224"/>
      <c r="N41" s="224"/>
      <c r="O41" s="224"/>
      <c r="P41" s="185"/>
      <c r="Q41" s="225"/>
      <c r="R41" s="182" t="str">
        <f ca="1">IF(ISERROR($V41),"",OFFSET('Smelter Look-up'!$C$4,$V41-4,0)&amp;"")</f>
        <v>Kazzinc</v>
      </c>
      <c r="S41" s="181" t="str">
        <f t="shared" ca="1" si="6"/>
        <v>KZ</v>
      </c>
      <c r="T41" s="181" t="str">
        <f ca="1">IF(B41="","",IF(ISERROR(MATCH($J41,SorP!$B$1:$B$6279,0)),"",INDIRECT("'SorP'!$A$"&amp;MATCH($S41&amp;$J41,SorP!C:C,0))))</f>
        <v>KZ-KAR</v>
      </c>
      <c r="U41" s="201"/>
      <c r="V41" s="226">
        <f>IF(C41="",NA(),IF(OR(C41="Smelter not listed",C41="Smelter not yet identified"),MATCH($B41&amp;$D41,'Smelter Look-up'!$J:$J,0),MATCH($B41&amp;$C41,'Smelter Look-up'!$J:$J,0)))</f>
        <v>136</v>
      </c>
      <c r="X41" s="227">
        <f t="shared" si="7"/>
        <v>0</v>
      </c>
      <c r="AB41" s="228" t="str">
        <f t="shared" si="8"/>
        <v>GoldKazzinc</v>
      </c>
    </row>
    <row r="42" spans="1:28" s="227" customFormat="1" ht="25.5">
      <c r="A42" s="298" t="s">
        <v>797</v>
      </c>
      <c r="B42" s="293" t="s">
        <v>1128</v>
      </c>
      <c r="C42" s="294" t="s">
        <v>150</v>
      </c>
      <c r="D42" s="295"/>
      <c r="E42" s="293" t="s">
        <v>15814</v>
      </c>
      <c r="F42" s="293" t="s">
        <v>797</v>
      </c>
      <c r="G42" s="293" t="s">
        <v>13240</v>
      </c>
      <c r="H42" s="296"/>
      <c r="I42" s="297" t="s">
        <v>1828</v>
      </c>
      <c r="J42" s="297" t="s">
        <v>1756</v>
      </c>
      <c r="K42" s="224"/>
      <c r="L42" s="224"/>
      <c r="M42" s="224"/>
      <c r="N42" s="224"/>
      <c r="O42" s="224"/>
      <c r="P42" s="185"/>
      <c r="Q42" s="225"/>
      <c r="R42" s="182" t="str">
        <f ca="1">IF(ISERROR($V42),"",OFFSET('Smelter Look-up'!$C$4,$V42-4,0)&amp;"")</f>
        <v>Kennametal Fallon</v>
      </c>
      <c r="S42" s="181" t="str">
        <f t="shared" ca="1" si="6"/>
        <v>US</v>
      </c>
      <c r="T42" s="181" t="str">
        <f ca="1">IF(B42="","",IF(ISERROR(MATCH($J42,SorP!$B$1:$B$6279,0)),"",INDIRECT("'SorP'!$A$"&amp;MATCH($S42&amp;$J42,SorP!C:C,0))))</f>
        <v>US-NV</v>
      </c>
      <c r="U42" s="201"/>
      <c r="V42" s="226">
        <f>IF(C42="",NA(),IF(OR(C42="Smelter not listed",C42="Smelter not yet identified"),MATCH($B42&amp;$D42,'Smelter Look-up'!$J:$J,0),MATCH($B42&amp;$C42,'Smelter Look-up'!$J:$J,0)))</f>
        <v>611</v>
      </c>
      <c r="X42" s="227">
        <f t="shared" si="7"/>
        <v>0</v>
      </c>
      <c r="AB42" s="228" t="str">
        <f t="shared" si="8"/>
        <v>TungstenKennametal Fallon</v>
      </c>
    </row>
    <row r="43" spans="1:28" s="227" customFormat="1" ht="25.5">
      <c r="A43" s="298" t="s">
        <v>693</v>
      </c>
      <c r="B43" s="293" t="s">
        <v>1125</v>
      </c>
      <c r="C43" s="294" t="s">
        <v>692</v>
      </c>
      <c r="D43" s="295"/>
      <c r="E43" s="293" t="s">
        <v>15814</v>
      </c>
      <c r="F43" s="293" t="s">
        <v>693</v>
      </c>
      <c r="G43" s="293" t="s">
        <v>13240</v>
      </c>
      <c r="H43" s="296"/>
      <c r="I43" s="297" t="s">
        <v>1607</v>
      </c>
      <c r="J43" s="297" t="s">
        <v>1600</v>
      </c>
      <c r="K43" s="224"/>
      <c r="L43" s="224"/>
      <c r="M43" s="224"/>
      <c r="N43" s="224"/>
      <c r="O43" s="224"/>
      <c r="P43" s="185"/>
      <c r="Q43" s="225"/>
      <c r="R43" s="182" t="str">
        <f ca="1">IF(ISERROR($V43),"",OFFSET('Smelter Look-up'!$C$4,$V43-4,0)&amp;"")</f>
        <v>Kennecott Utah Copper LLC</v>
      </c>
      <c r="S43" s="181" t="str">
        <f t="shared" ca="1" si="6"/>
        <v>US</v>
      </c>
      <c r="T43" s="181" t="str">
        <f ca="1">IF(B43="","",IF(ISERROR(MATCH($J43,SorP!$B$1:$B$6279,0)),"",INDIRECT("'SorP'!$A$"&amp;MATCH($S43&amp;$J43,SorP!C:C,0))))</f>
        <v>US-UT</v>
      </c>
      <c r="U43" s="201"/>
      <c r="V43" s="226">
        <f>IF(C43="",NA(),IF(OR(C43="Smelter not listed",C43="Smelter not yet identified"),MATCH($B43&amp;$D43,'Smelter Look-up'!$J:$J,0),MATCH($B43&amp;$C43,'Smelter Look-up'!$J:$J,0)))</f>
        <v>137</v>
      </c>
      <c r="X43" s="227">
        <f t="shared" si="7"/>
        <v>0</v>
      </c>
      <c r="AB43" s="228" t="str">
        <f t="shared" si="8"/>
        <v>GoldKennecott Utah Copper LLC</v>
      </c>
    </row>
    <row r="44" spans="1:28" s="227" customFormat="1" ht="20.25">
      <c r="A44" s="298" t="s">
        <v>694</v>
      </c>
      <c r="B44" s="293" t="s">
        <v>1125</v>
      </c>
      <c r="C44" s="294" t="s">
        <v>2147</v>
      </c>
      <c r="D44" s="295"/>
      <c r="E44" s="293" t="s">
        <v>15808</v>
      </c>
      <c r="F44" s="293" t="s">
        <v>694</v>
      </c>
      <c r="G44" s="293" t="s">
        <v>13240</v>
      </c>
      <c r="H44" s="296"/>
      <c r="I44" s="297" t="s">
        <v>1608</v>
      </c>
      <c r="J44" s="297" t="s">
        <v>1580</v>
      </c>
      <c r="K44" s="224"/>
      <c r="L44" s="224"/>
      <c r="M44" s="224"/>
      <c r="N44" s="224"/>
      <c r="O44" s="224"/>
      <c r="P44" s="185"/>
      <c r="Q44" s="225"/>
      <c r="R44" s="182" t="str">
        <f ca="1">IF(ISERROR($V44),"",OFFSET('Smelter Look-up'!$C$4,$V44-4,0)&amp;"")</f>
        <v>Kojima Chemicals Co., Ltd.</v>
      </c>
      <c r="S44" s="181" t="str">
        <f t="shared" ca="1" si="6"/>
        <v>JP</v>
      </c>
      <c r="T44" s="181" t="str">
        <f ca="1">IF(B44="","",IF(ISERROR(MATCH($J44,SorP!$B$1:$B$6279,0)),"",INDIRECT("'SorP'!$A$"&amp;MATCH($S44&amp;$J44,SorP!C:C,0))))</f>
        <v>JP-11</v>
      </c>
      <c r="U44" s="201"/>
      <c r="V44" s="226">
        <f>IF(C44="",NA(),IF(OR(C44="Smelter not listed",C44="Smelter not yet identified"),MATCH($B44&amp;$D44,'Smelter Look-up'!$J:$J,0),MATCH($B44&amp;$C44,'Smelter Look-up'!$J:$J,0)))</f>
        <v>141</v>
      </c>
      <c r="X44" s="227">
        <f t="shared" si="7"/>
        <v>0</v>
      </c>
      <c r="AB44" s="228" t="str">
        <f t="shared" si="8"/>
        <v>GoldKojima Chemicals Co., Ltd.</v>
      </c>
    </row>
    <row r="45" spans="1:28" s="227" customFormat="1" ht="25.5">
      <c r="A45" s="298" t="s">
        <v>770</v>
      </c>
      <c r="B45" s="293" t="s">
        <v>1126</v>
      </c>
      <c r="C45" s="294" t="s">
        <v>1322</v>
      </c>
      <c r="D45" s="295"/>
      <c r="E45" s="293" t="s">
        <v>15818</v>
      </c>
      <c r="F45" s="293" t="s">
        <v>770</v>
      </c>
      <c r="G45" s="293" t="s">
        <v>13240</v>
      </c>
      <c r="H45" s="296"/>
      <c r="I45" s="297" t="s">
        <v>1775</v>
      </c>
      <c r="J45" s="297" t="s">
        <v>13603</v>
      </c>
      <c r="K45" s="224"/>
      <c r="L45" s="224"/>
      <c r="M45" s="224"/>
      <c r="N45" s="224"/>
      <c r="O45" s="224"/>
      <c r="P45" s="185"/>
      <c r="Q45" s="225"/>
      <c r="R45" s="182" t="str">
        <f ca="1">IF(ISERROR($V45),"",OFFSET('Smelter Look-up'!$C$4,$V45-4,0)&amp;"")</f>
        <v>China Tin Group Co., Ltd.</v>
      </c>
      <c r="S45" s="181" t="str">
        <f t="shared" ca="1" si="6"/>
        <v>CN</v>
      </c>
      <c r="T45" s="181" t="str">
        <f ca="1">IF(B45="","",IF(ISERROR(MATCH($J45,SorP!$B$1:$B$6279,0)),"",INDIRECT("'SorP'!$A$"&amp;MATCH($S45&amp;$J45,SorP!C:C,0))))</f>
        <v>CN-GX</v>
      </c>
      <c r="U45" s="201"/>
      <c r="V45" s="226">
        <f>IF(C45="",NA(),IF(OR(C45="Smelter not listed",C45="Smelter not yet identified"),MATCH($B45&amp;$D45,'Smelter Look-up'!$J:$J,0),MATCH($B45&amp;$C45,'Smelter Look-up'!$J:$J,0)))</f>
        <v>403</v>
      </c>
      <c r="X45" s="227">
        <f t="shared" si="7"/>
        <v>0</v>
      </c>
      <c r="AB45" s="228" t="str">
        <f t="shared" si="8"/>
        <v>TinChina Tin Group Co., Ltd.</v>
      </c>
    </row>
    <row r="46" spans="1:28" s="227" customFormat="1" ht="20.25">
      <c r="A46" s="298" t="s">
        <v>751</v>
      </c>
      <c r="B46" s="293" t="s">
        <v>1127</v>
      </c>
      <c r="C46" s="294" t="s">
        <v>15467</v>
      </c>
      <c r="D46" s="295"/>
      <c r="E46" s="293" t="s">
        <v>15811</v>
      </c>
      <c r="F46" s="293" t="s">
        <v>751</v>
      </c>
      <c r="G46" s="293" t="s">
        <v>13240</v>
      </c>
      <c r="H46" s="296"/>
      <c r="I46" s="297" t="s">
        <v>1721</v>
      </c>
      <c r="J46" s="297" t="s">
        <v>1547</v>
      </c>
      <c r="K46" s="224"/>
      <c r="L46" s="224"/>
      <c r="M46" s="224"/>
      <c r="N46" s="224"/>
      <c r="O46" s="224"/>
      <c r="P46" s="185"/>
      <c r="Q46" s="225"/>
      <c r="R46" s="182" t="str">
        <f ca="1">IF(ISERROR($V46),"",OFFSET('Smelter Look-up'!$C$4,$V46-4,0)&amp;"")</f>
        <v>AMG Brasil</v>
      </c>
      <c r="S46" s="181" t="str">
        <f t="shared" ca="1" si="6"/>
        <v>BR</v>
      </c>
      <c r="T46" s="181" t="str">
        <f ca="1">IF(B46="","",IF(ISERROR(MATCH($J46,SorP!$B$1:$B$6279,0)),"",INDIRECT("'SorP'!$A$"&amp;MATCH($S46&amp;$J46,SorP!C:C,0))))</f>
        <v>BR-MG</v>
      </c>
      <c r="U46" s="201"/>
      <c r="V46" s="226">
        <f>IF(C46="",NA(),IF(OR(C46="Smelter not listed",C46="Smelter not yet identified"),MATCH($B46&amp;$D46,'Smelter Look-up'!$J:$J,0),MATCH($B46&amp;$C46,'Smelter Look-up'!$J:$J,0)))</f>
        <v>323</v>
      </c>
      <c r="X46" s="227">
        <f t="shared" si="7"/>
        <v>0</v>
      </c>
      <c r="AB46" s="228" t="str">
        <f t="shared" si="8"/>
        <v>TantalumAMG Brasil</v>
      </c>
    </row>
    <row r="47" spans="1:28" s="227" customFormat="1" ht="20.25">
      <c r="A47" s="298" t="s">
        <v>698</v>
      </c>
      <c r="B47" s="293" t="s">
        <v>1125</v>
      </c>
      <c r="C47" s="294" t="s">
        <v>56</v>
      </c>
      <c r="D47" s="295"/>
      <c r="E47" s="293" t="s">
        <v>15821</v>
      </c>
      <c r="F47" s="293" t="s">
        <v>698</v>
      </c>
      <c r="G47" s="293" t="s">
        <v>13240</v>
      </c>
      <c r="H47" s="296"/>
      <c r="I47" s="297" t="s">
        <v>1613</v>
      </c>
      <c r="J47" s="297" t="s">
        <v>12867</v>
      </c>
      <c r="K47" s="224"/>
      <c r="L47" s="224"/>
      <c r="M47" s="224"/>
      <c r="N47" s="224"/>
      <c r="O47" s="224"/>
      <c r="P47" s="185"/>
      <c r="Q47" s="225"/>
      <c r="R47" s="182" t="str">
        <f ca="1">IF(ISERROR($V47),"",OFFSET('Smelter Look-up'!$C$4,$V47-4,0)&amp;"")</f>
        <v>LS-NIKKO Copper Inc.</v>
      </c>
      <c r="S47" s="181" t="str">
        <f t="shared" ca="1" si="6"/>
        <v>KR</v>
      </c>
      <c r="T47" s="181" t="str">
        <f ca="1">IF(B47="","",IF(ISERROR(MATCH($J47,SorP!$B$1:$B$6279,0)),"",INDIRECT("'SorP'!$A$"&amp;MATCH($S47&amp;$J47,SorP!C:C,0))))</f>
        <v>KR-31</v>
      </c>
      <c r="U47" s="201"/>
      <c r="V47" s="226">
        <f>IF(C47="",NA(),IF(OR(C47="Smelter not listed",C47="Smelter not yet identified"),MATCH($B47&amp;$D47,'Smelter Look-up'!$J:$J,0),MATCH($B47&amp;$C47,'Smelter Look-up'!$J:$J,0)))</f>
        <v>157</v>
      </c>
      <c r="X47" s="227">
        <f t="shared" si="7"/>
        <v>0</v>
      </c>
      <c r="AB47" s="228" t="str">
        <f t="shared" si="8"/>
        <v>GoldLS-NIKKO Copper Inc.</v>
      </c>
    </row>
    <row r="48" spans="1:28" s="227" customFormat="1" ht="20.25">
      <c r="A48" s="298" t="s">
        <v>771</v>
      </c>
      <c r="B48" s="293" t="s">
        <v>1126</v>
      </c>
      <c r="C48" s="294" t="s">
        <v>817</v>
      </c>
      <c r="D48" s="295"/>
      <c r="E48" s="293" t="s">
        <v>15826</v>
      </c>
      <c r="F48" s="293" t="s">
        <v>771</v>
      </c>
      <c r="G48" s="293" t="s">
        <v>13240</v>
      </c>
      <c r="H48" s="296"/>
      <c r="I48" s="297" t="s">
        <v>1780</v>
      </c>
      <c r="J48" s="297" t="s">
        <v>8688</v>
      </c>
      <c r="K48" s="224"/>
      <c r="L48" s="224"/>
      <c r="M48" s="224"/>
      <c r="N48" s="224"/>
      <c r="O48" s="224"/>
      <c r="P48" s="185"/>
      <c r="Q48" s="225"/>
      <c r="R48" s="182" t="str">
        <f ca="1">IF(ISERROR($V48),"",OFFSET('Smelter Look-up'!$C$4,$V48-4,0)&amp;"")</f>
        <v>Malaysia Smelting Corporation (MSC)</v>
      </c>
      <c r="S48" s="181" t="str">
        <f t="shared" ca="1" si="6"/>
        <v>MY</v>
      </c>
      <c r="T48" s="181" t="str">
        <f ca="1">IF(B48="","",IF(ISERROR(MATCH($J48,SorP!$B$1:$B$6279,0)),"",INDIRECT("'SorP'!$A$"&amp;MATCH($S48&amp;$J48,SorP!C:C,0))))</f>
        <v>MY-07</v>
      </c>
      <c r="U48" s="201"/>
      <c r="V48" s="226">
        <f>IF(C48="",NA(),IF(OR(C48="Smelter not listed",C48="Smelter not yet identified"),MATCH($B48&amp;$D48,'Smelter Look-up'!$J:$J,0),MATCH($B48&amp;$C48,'Smelter Look-up'!$J:$J,0)))</f>
        <v>458</v>
      </c>
      <c r="X48" s="227">
        <f t="shared" si="7"/>
        <v>0</v>
      </c>
      <c r="AB48" s="228" t="str">
        <f t="shared" si="8"/>
        <v>TinMalaysia Smelting Corporation (MSC)</v>
      </c>
    </row>
    <row r="49" spans="1:28" s="227" customFormat="1" ht="25.5">
      <c r="A49" s="298" t="s">
        <v>701</v>
      </c>
      <c r="B49" s="293" t="s">
        <v>1125</v>
      </c>
      <c r="C49" s="294" t="s">
        <v>906</v>
      </c>
      <c r="D49" s="295"/>
      <c r="E49" s="293" t="s">
        <v>15814</v>
      </c>
      <c r="F49" s="293" t="s">
        <v>701</v>
      </c>
      <c r="G49" s="293" t="s">
        <v>13240</v>
      </c>
      <c r="H49" s="296"/>
      <c r="I49" s="297" t="s">
        <v>1616</v>
      </c>
      <c r="J49" s="297" t="s">
        <v>1617</v>
      </c>
      <c r="K49" s="224"/>
      <c r="L49" s="224"/>
      <c r="M49" s="224"/>
      <c r="N49" s="224"/>
      <c r="O49" s="224"/>
      <c r="P49" s="185"/>
      <c r="Q49" s="225"/>
      <c r="R49" s="182" t="str">
        <f ca="1">IF(ISERROR($V49),"",OFFSET('Smelter Look-up'!$C$4,$V49-4,0)&amp;"")</f>
        <v>Materion</v>
      </c>
      <c r="S49" s="181" t="str">
        <f t="shared" ca="1" si="6"/>
        <v>US</v>
      </c>
      <c r="T49" s="181" t="str">
        <f ca="1">IF(B49="","",IF(ISERROR(MATCH($J49,SorP!$B$1:$B$6279,0)),"",INDIRECT("'SorP'!$A$"&amp;MATCH($S49&amp;$J49,SorP!C:C,0))))</f>
        <v>US-NY</v>
      </c>
      <c r="U49" s="201"/>
      <c r="V49" s="226">
        <f>IF(C49="",NA(),IF(OR(C49="Smelter not listed",C49="Smelter not yet identified"),MATCH($B49&amp;$D49,'Smelter Look-up'!$J:$J,0),MATCH($B49&amp;$C49,'Smelter Look-up'!$J:$J,0)))</f>
        <v>163</v>
      </c>
      <c r="X49" s="227">
        <f t="shared" si="7"/>
        <v>0</v>
      </c>
      <c r="AB49" s="228" t="str">
        <f t="shared" si="8"/>
        <v>GoldMaterion</v>
      </c>
    </row>
    <row r="50" spans="1:28" s="227" customFormat="1" ht="20.25">
      <c r="A50" s="298" t="s">
        <v>702</v>
      </c>
      <c r="B50" s="293" t="s">
        <v>1125</v>
      </c>
      <c r="C50" s="294" t="s">
        <v>57</v>
      </c>
      <c r="D50" s="295"/>
      <c r="E50" s="293" t="s">
        <v>15808</v>
      </c>
      <c r="F50" s="293" t="s">
        <v>702</v>
      </c>
      <c r="G50" s="293" t="s">
        <v>13240</v>
      </c>
      <c r="H50" s="296"/>
      <c r="I50" s="297" t="s">
        <v>1618</v>
      </c>
      <c r="J50" s="297" t="s">
        <v>1580</v>
      </c>
      <c r="K50" s="224"/>
      <c r="L50" s="224"/>
      <c r="M50" s="224"/>
      <c r="N50" s="224"/>
      <c r="O50" s="224"/>
      <c r="P50" s="185"/>
      <c r="Q50" s="225"/>
      <c r="R50" s="182" t="str">
        <f ca="1">IF(ISERROR($V50),"",OFFSET('Smelter Look-up'!$C$4,$V50-4,0)&amp;"")</f>
        <v>Matsuda Sangyo Co., Ltd.</v>
      </c>
      <c r="S50" s="181" t="str">
        <f t="shared" ca="1" si="6"/>
        <v>JP</v>
      </c>
      <c r="T50" s="181" t="str">
        <f ca="1">IF(B50="","",IF(ISERROR(MATCH($J50,SorP!$B$1:$B$6279,0)),"",INDIRECT("'SorP'!$A$"&amp;MATCH($S50&amp;$J50,SorP!C:C,0))))</f>
        <v>JP-11</v>
      </c>
      <c r="U50" s="201"/>
      <c r="V50" s="226">
        <f>IF(C50="",NA(),IF(OR(C50="Smelter not listed",C50="Smelter not yet identified"),MATCH($B50&amp;$D50,'Smelter Look-up'!$J:$J,0),MATCH($B50&amp;$C50,'Smelter Look-up'!$J:$J,0)))</f>
        <v>164</v>
      </c>
      <c r="X50" s="227">
        <f t="shared" si="7"/>
        <v>0</v>
      </c>
      <c r="AB50" s="228" t="str">
        <f t="shared" si="8"/>
        <v>GoldMatsuda Sangyo Co., Ltd.</v>
      </c>
    </row>
    <row r="51" spans="1:28" s="227" customFormat="1" ht="25.5">
      <c r="A51" s="298" t="s">
        <v>1781</v>
      </c>
      <c r="B51" s="293" t="s">
        <v>1126</v>
      </c>
      <c r="C51" s="294" t="s">
        <v>2149</v>
      </c>
      <c r="D51" s="295"/>
      <c r="E51" s="293" t="s">
        <v>15814</v>
      </c>
      <c r="F51" s="293" t="s">
        <v>1781</v>
      </c>
      <c r="G51" s="293" t="s">
        <v>13240</v>
      </c>
      <c r="H51" s="296"/>
      <c r="I51" s="297" t="s">
        <v>1782</v>
      </c>
      <c r="J51" s="297" t="s">
        <v>1635</v>
      </c>
      <c r="K51" s="224"/>
      <c r="L51" s="224"/>
      <c r="M51" s="224"/>
      <c r="N51" s="224"/>
      <c r="O51" s="224"/>
      <c r="P51" s="185"/>
      <c r="Q51" s="225"/>
      <c r="R51" s="182" t="str">
        <f ca="1">IF(ISERROR($V51),"",OFFSET('Smelter Look-up'!$C$4,$V51-4,0)&amp;"")</f>
        <v>Metallic Resources, Inc.</v>
      </c>
      <c r="S51" s="181" t="str">
        <f t="shared" ca="1" si="6"/>
        <v>US</v>
      </c>
      <c r="T51" s="181" t="str">
        <f ca="1">IF(B51="","",IF(ISERROR(MATCH($J51,SorP!$B$1:$B$6279,0)),"",INDIRECT("'SorP'!$A$"&amp;MATCH($S51&amp;$J51,SorP!C:C,0))))</f>
        <v>US-OH</v>
      </c>
      <c r="U51" s="201"/>
      <c r="V51" s="226">
        <f>IF(C51="",NA(),IF(OR(C51="Smelter not listed",C51="Smelter not yet identified"),MATCH($B51&amp;$D51,'Smelter Look-up'!$J:$J,0),MATCH($B51&amp;$C51,'Smelter Look-up'!$J:$J,0)))</f>
        <v>462</v>
      </c>
      <c r="X51" s="227">
        <f t="shared" si="7"/>
        <v>0</v>
      </c>
      <c r="AB51" s="228" t="str">
        <f t="shared" si="8"/>
        <v>TinMetallic Resources, Inc.</v>
      </c>
    </row>
    <row r="52" spans="1:28" s="227" customFormat="1" ht="20.25">
      <c r="A52" s="298" t="s">
        <v>1620</v>
      </c>
      <c r="B52" s="293" t="s">
        <v>1125</v>
      </c>
      <c r="C52" s="294" t="s">
        <v>1619</v>
      </c>
      <c r="D52" s="295"/>
      <c r="E52" s="293" t="s">
        <v>15818</v>
      </c>
      <c r="F52" s="293" t="s">
        <v>1620</v>
      </c>
      <c r="G52" s="293" t="s">
        <v>13240</v>
      </c>
      <c r="H52" s="296"/>
      <c r="I52" s="297" t="s">
        <v>2512</v>
      </c>
      <c r="J52" s="297" t="s">
        <v>13632</v>
      </c>
      <c r="K52" s="224"/>
      <c r="L52" s="224"/>
      <c r="M52" s="224"/>
      <c r="N52" s="224"/>
      <c r="O52" s="224"/>
      <c r="P52" s="185"/>
      <c r="Q52" s="225"/>
      <c r="R52" s="182" t="str">
        <f ca="1">IF(ISERROR($V52),"",OFFSET('Smelter Look-up'!$C$4,$V52-4,0)&amp;"")</f>
        <v>Metalor Technologies (Suzhou) Ltd.</v>
      </c>
      <c r="S52" s="181" t="str">
        <f t="shared" ca="1" si="6"/>
        <v>CN</v>
      </c>
      <c r="T52" s="181" t="str">
        <f ca="1">IF(B52="","",IF(ISERROR(MATCH($J52,SorP!$B$1:$B$6279,0)),"",INDIRECT("'SorP'!$A$"&amp;MATCH($S52&amp;$J52,SorP!C:C,0))))</f>
        <v>CN-JS</v>
      </c>
      <c r="U52" s="201"/>
      <c r="V52" s="226">
        <f>IF(C52="",NA(),IF(OR(C52="Smelter not listed",C52="Smelter not yet identified"),MATCH($B52&amp;$D52,'Smelter Look-up'!$J:$J,0),MATCH($B52&amp;$C52,'Smelter Look-up'!$J:$J,0)))</f>
        <v>174</v>
      </c>
      <c r="X52" s="227">
        <f t="shared" si="7"/>
        <v>0</v>
      </c>
      <c r="AB52" s="228" t="str">
        <f t="shared" si="8"/>
        <v>GoldMetalor Technologies (Suzhou) Ltd.</v>
      </c>
    </row>
    <row r="53" spans="1:28" s="227" customFormat="1" ht="20.25">
      <c r="A53" s="298" t="s">
        <v>703</v>
      </c>
      <c r="B53" s="293" t="s">
        <v>1125</v>
      </c>
      <c r="C53" s="294" t="s">
        <v>2150</v>
      </c>
      <c r="D53" s="295"/>
      <c r="E53" s="293" t="s">
        <v>15818</v>
      </c>
      <c r="F53" s="293" t="s">
        <v>703</v>
      </c>
      <c r="G53" s="293" t="s">
        <v>13240</v>
      </c>
      <c r="H53" s="296"/>
      <c r="I53" s="297" t="s">
        <v>1621</v>
      </c>
      <c r="J53" s="297" t="s">
        <v>15824</v>
      </c>
      <c r="K53" s="224"/>
      <c r="L53" s="224"/>
      <c r="M53" s="224"/>
      <c r="N53" s="224"/>
      <c r="O53" s="224"/>
      <c r="P53" s="185"/>
      <c r="Q53" s="225"/>
      <c r="R53" s="182" t="str">
        <f ca="1">IF(ISERROR($V53),"",OFFSET('Smelter Look-up'!$C$4,$V53-4,0)&amp;"")</f>
        <v>Metalor Technologies (Hong Kong) Ltd.</v>
      </c>
      <c r="S53" s="181" t="str">
        <f t="shared" ca="1" si="6"/>
        <v>CN</v>
      </c>
      <c r="T53" s="181" t="str">
        <f ca="1">IF(B53="","",IF(ISERROR(MATCH($J53,SorP!$B$1:$B$6279,0)),"",INDIRECT("'SorP'!$A$"&amp;MATCH($S53&amp;$J53,SorP!C:C,0))))</f>
        <v/>
      </c>
      <c r="U53" s="201"/>
      <c r="V53" s="226">
        <f>IF(C53="",NA(),IF(OR(C53="Smelter not listed",C53="Smelter not yet identified"),MATCH($B53&amp;$D53,'Smelter Look-up'!$J:$J,0),MATCH($B53&amp;$C53,'Smelter Look-up'!$J:$J,0)))</f>
        <v>172</v>
      </c>
      <c r="X53" s="227">
        <f t="shared" si="7"/>
        <v>0</v>
      </c>
      <c r="AB53" s="228" t="str">
        <f t="shared" si="8"/>
        <v>GoldMetalor Technologies (Hong Kong) Ltd.</v>
      </c>
    </row>
    <row r="54" spans="1:28" s="227" customFormat="1" ht="20.25">
      <c r="A54" s="298" t="s">
        <v>704</v>
      </c>
      <c r="B54" s="293" t="s">
        <v>1125</v>
      </c>
      <c r="C54" s="294" t="s">
        <v>2151</v>
      </c>
      <c r="D54" s="295"/>
      <c r="E54" s="293" t="s">
        <v>12723</v>
      </c>
      <c r="F54" s="293" t="s">
        <v>704</v>
      </c>
      <c r="G54" s="293" t="s">
        <v>13240</v>
      </c>
      <c r="H54" s="296"/>
      <c r="I54" s="297" t="s">
        <v>12723</v>
      </c>
      <c r="J54" s="297" t="s">
        <v>10295</v>
      </c>
      <c r="K54" s="224"/>
      <c r="L54" s="224"/>
      <c r="M54" s="224"/>
      <c r="N54" s="224"/>
      <c r="O54" s="224"/>
      <c r="P54" s="185"/>
      <c r="Q54" s="225"/>
      <c r="R54" s="182" t="str">
        <f ca="1">IF(ISERROR($V54),"",OFFSET('Smelter Look-up'!$C$4,$V54-4,0)&amp;"")</f>
        <v>Metalor Technologies (Singapore) Pte., Ltd.</v>
      </c>
      <c r="S54" s="181" t="str">
        <f t="shared" ca="1" si="6"/>
        <v>SG</v>
      </c>
      <c r="T54" s="181" t="str">
        <f ca="1">IF(B54="","",IF(ISERROR(MATCH($J54,SorP!$B$1:$B$6279,0)),"",INDIRECT("'SorP'!$A$"&amp;MATCH($S54&amp;$J54,SorP!C:C,0))))</f>
        <v>SG-05</v>
      </c>
      <c r="U54" s="201"/>
      <c r="V54" s="226">
        <f>IF(C54="",NA(),IF(OR(C54="Smelter not listed",C54="Smelter not yet identified"),MATCH($B54&amp;$D54,'Smelter Look-up'!$J:$J,0),MATCH($B54&amp;$C54,'Smelter Look-up'!$J:$J,0)))</f>
        <v>173</v>
      </c>
      <c r="X54" s="227">
        <f t="shared" si="7"/>
        <v>0</v>
      </c>
      <c r="AB54" s="228" t="str">
        <f t="shared" si="8"/>
        <v>GoldMetalor Technologies (Singapore) Pte., Ltd.</v>
      </c>
    </row>
    <row r="55" spans="1:28" s="227" customFormat="1" ht="20.25">
      <c r="A55" s="298" t="s">
        <v>705</v>
      </c>
      <c r="B55" s="293" t="s">
        <v>1125</v>
      </c>
      <c r="C55" s="294" t="s">
        <v>2305</v>
      </c>
      <c r="D55" s="295"/>
      <c r="E55" s="293" t="s">
        <v>15812</v>
      </c>
      <c r="F55" s="293" t="s">
        <v>705</v>
      </c>
      <c r="G55" s="293" t="s">
        <v>13240</v>
      </c>
      <c r="H55" s="296"/>
      <c r="I55" s="297" t="s">
        <v>1622</v>
      </c>
      <c r="J55" s="297" t="s">
        <v>1623</v>
      </c>
      <c r="K55" s="224"/>
      <c r="L55" s="224"/>
      <c r="M55" s="224"/>
      <c r="N55" s="224"/>
      <c r="O55" s="224"/>
      <c r="P55" s="185"/>
      <c r="Q55" s="225"/>
      <c r="R55" s="182" t="str">
        <f ca="1">IF(ISERROR($V55),"",OFFSET('Smelter Look-up'!$C$4,$V55-4,0)&amp;"")</f>
        <v>Metalor Technologies S.A.</v>
      </c>
      <c r="S55" s="181" t="str">
        <f t="shared" ca="1" si="6"/>
        <v>CH</v>
      </c>
      <c r="T55" s="181" t="str">
        <f ca="1">IF(B55="","",IF(ISERROR(MATCH($J55,SorP!$B$1:$B$6279,0)),"",INDIRECT("'SorP'!$A$"&amp;MATCH($S55&amp;$J55,SorP!C:C,0))))</f>
        <v>CH-NE</v>
      </c>
      <c r="U55" s="201"/>
      <c r="V55" s="226">
        <f>IF(C55="",NA(),IF(OR(C55="Smelter not listed",C55="Smelter not yet identified"),MATCH($B55&amp;$D55,'Smelter Look-up'!$J:$J,0),MATCH($B55&amp;$C55,'Smelter Look-up'!$J:$J,0)))</f>
        <v>175</v>
      </c>
      <c r="X55" s="227">
        <f t="shared" si="7"/>
        <v>0</v>
      </c>
      <c r="AB55" s="228" t="str">
        <f t="shared" si="8"/>
        <v>GoldMetalor Technologies S.A.</v>
      </c>
    </row>
    <row r="56" spans="1:28" s="227" customFormat="1" ht="25.5">
      <c r="A56" s="298" t="s">
        <v>706</v>
      </c>
      <c r="B56" s="293" t="s">
        <v>1125</v>
      </c>
      <c r="C56" s="294" t="s">
        <v>1224</v>
      </c>
      <c r="D56" s="295"/>
      <c r="E56" s="293" t="s">
        <v>15814</v>
      </c>
      <c r="F56" s="293" t="s">
        <v>706</v>
      </c>
      <c r="G56" s="293" t="s">
        <v>13240</v>
      </c>
      <c r="H56" s="296"/>
      <c r="I56" s="297" t="s">
        <v>1624</v>
      </c>
      <c r="J56" s="297" t="s">
        <v>1625</v>
      </c>
      <c r="K56" s="224"/>
      <c r="L56" s="224"/>
      <c r="M56" s="224"/>
      <c r="N56" s="224"/>
      <c r="O56" s="224"/>
      <c r="P56" s="185"/>
      <c r="Q56" s="225"/>
      <c r="R56" s="182" t="str">
        <f ca="1">IF(ISERROR($V56),"",OFFSET('Smelter Look-up'!$C$4,$V56-4,0)&amp;"")</f>
        <v>Metalor USA Refining Corporation</v>
      </c>
      <c r="S56" s="181" t="str">
        <f t="shared" ca="1" si="6"/>
        <v>US</v>
      </c>
      <c r="T56" s="181" t="str">
        <f ca="1">IF(B56="","",IF(ISERROR(MATCH($J56,SorP!$B$1:$B$6279,0)),"",INDIRECT("'SorP'!$A$"&amp;MATCH($S56&amp;$J56,SorP!C:C,0))))</f>
        <v>US-MA</v>
      </c>
      <c r="U56" s="201"/>
      <c r="V56" s="226">
        <f>IF(C56="",NA(),IF(OR(C56="Smelter not listed",C56="Smelter not yet identified"),MATCH($B56&amp;$D56,'Smelter Look-up'!$J:$J,0),MATCH($B56&amp;$C56,'Smelter Look-up'!$J:$J,0)))</f>
        <v>176</v>
      </c>
      <c r="X56" s="227">
        <f t="shared" si="7"/>
        <v>0</v>
      </c>
      <c r="AB56" s="228" t="str">
        <f t="shared" si="8"/>
        <v>GoldMetalor USA Refining Corporation</v>
      </c>
    </row>
    <row r="57" spans="1:28" s="227" customFormat="1" ht="25.5">
      <c r="A57" s="298" t="s">
        <v>707</v>
      </c>
      <c r="B57" s="293" t="s">
        <v>1125</v>
      </c>
      <c r="C57" s="294" t="s">
        <v>12429</v>
      </c>
      <c r="D57" s="295"/>
      <c r="E57" s="293" t="s">
        <v>15816</v>
      </c>
      <c r="F57" s="293" t="s">
        <v>707</v>
      </c>
      <c r="G57" s="293" t="s">
        <v>13240</v>
      </c>
      <c r="H57" s="296"/>
      <c r="I57" s="297" t="s">
        <v>1626</v>
      </c>
      <c r="J57" s="297" t="s">
        <v>12885</v>
      </c>
      <c r="K57" s="224"/>
      <c r="L57" s="224"/>
      <c r="M57" s="224"/>
      <c r="N57" s="224"/>
      <c r="O57" s="224"/>
      <c r="P57" s="185"/>
      <c r="Q57" s="225"/>
      <c r="R57" s="182" t="str">
        <f ca="1">IF(ISERROR($V57),"",OFFSET('Smelter Look-up'!$C$4,$V57-4,0)&amp;"")</f>
        <v>Metalurgica Met-Mex Penoles S.A. De C.V.</v>
      </c>
      <c r="S57" s="181" t="str">
        <f t="shared" ca="1" si="6"/>
        <v>MX</v>
      </c>
      <c r="T57" s="181" t="str">
        <f ca="1">IF(B57="","",IF(ISERROR(MATCH($J57,SorP!$B$1:$B$6279,0)),"",INDIRECT("'SorP'!$A$"&amp;MATCH($S57&amp;$J57,SorP!C:C,0))))</f>
        <v>MX-COA</v>
      </c>
      <c r="U57" s="201"/>
      <c r="V57" s="226">
        <f>IF(C57="",NA(),IF(OR(C57="Smelter not listed",C57="Smelter not yet identified"),MATCH($B57&amp;$D57,'Smelter Look-up'!$J:$J,0),MATCH($B57&amp;$C57,'Smelter Look-up'!$J:$J,0)))</f>
        <v>177</v>
      </c>
      <c r="X57" s="227">
        <f t="shared" si="7"/>
        <v>0</v>
      </c>
      <c r="AB57" s="228" t="str">
        <f t="shared" si="8"/>
        <v>GoldMetalurgica Met-Mex Penoles S.A. De C.V.</v>
      </c>
    </row>
    <row r="58" spans="1:28" s="227" customFormat="1" ht="20.25">
      <c r="A58" s="298" t="s">
        <v>752</v>
      </c>
      <c r="B58" s="293" t="s">
        <v>1127</v>
      </c>
      <c r="C58" s="294" t="s">
        <v>2152</v>
      </c>
      <c r="D58" s="295"/>
      <c r="E58" s="293" t="s">
        <v>15827</v>
      </c>
      <c r="F58" s="293" t="s">
        <v>752</v>
      </c>
      <c r="G58" s="293" t="s">
        <v>13240</v>
      </c>
      <c r="H58" s="296"/>
      <c r="I58" s="297" t="s">
        <v>1722</v>
      </c>
      <c r="J58" s="297" t="s">
        <v>15828</v>
      </c>
      <c r="K58" s="224"/>
      <c r="L58" s="224"/>
      <c r="M58" s="224"/>
      <c r="N58" s="224"/>
      <c r="O58" s="224"/>
      <c r="P58" s="185"/>
      <c r="Q58" s="225"/>
      <c r="R58" s="182" t="str">
        <f ca="1">IF(ISERROR($V58),"",OFFSET('Smelter Look-up'!$C$4,$V58-4,0)&amp;"")</f>
        <v>Metallurgical Products India Pvt., Ltd.</v>
      </c>
      <c r="S58" s="181" t="str">
        <f t="shared" ca="1" si="6"/>
        <v>IN</v>
      </c>
      <c r="T58" s="181" t="str">
        <f ca="1">IF(B58="","",IF(ISERROR(MATCH($J58,SorP!$B$1:$B$6279,0)),"",INDIRECT("'SorP'!$A$"&amp;MATCH($S58&amp;$J58,SorP!C:C,0))))</f>
        <v/>
      </c>
      <c r="U58" s="201"/>
      <c r="V58" s="226">
        <f>IF(C58="",NA(),IF(OR(C58="Smelter not listed",C58="Smelter not yet identified"),MATCH($B58&amp;$D58,'Smelter Look-up'!$J:$J,0),MATCH($B58&amp;$C58,'Smelter Look-up'!$J:$J,0)))</f>
        <v>350</v>
      </c>
      <c r="X58" s="227">
        <f t="shared" si="7"/>
        <v>0</v>
      </c>
      <c r="AB58" s="228" t="str">
        <f t="shared" si="8"/>
        <v>TantalumMetallurgical Products India Pvt., Ltd.</v>
      </c>
    </row>
    <row r="59" spans="1:28" s="227" customFormat="1" ht="20.25">
      <c r="A59" s="298" t="s">
        <v>772</v>
      </c>
      <c r="B59" s="293" t="s">
        <v>1126</v>
      </c>
      <c r="C59" s="294" t="s">
        <v>12430</v>
      </c>
      <c r="D59" s="295"/>
      <c r="E59" s="293" t="s">
        <v>15811</v>
      </c>
      <c r="F59" s="293" t="s">
        <v>772</v>
      </c>
      <c r="G59" s="293" t="s">
        <v>13240</v>
      </c>
      <c r="H59" s="296"/>
      <c r="I59" s="297" t="s">
        <v>1783</v>
      </c>
      <c r="J59" s="297" t="s">
        <v>1674</v>
      </c>
      <c r="K59" s="224"/>
      <c r="L59" s="224"/>
      <c r="M59" s="224"/>
      <c r="N59" s="224"/>
      <c r="O59" s="224"/>
      <c r="P59" s="185"/>
      <c r="Q59" s="225"/>
      <c r="R59" s="182" t="str">
        <f ca="1">IF(ISERROR($V59),"",OFFSET('Smelter Look-up'!$C$4,$V59-4,0)&amp;"")</f>
        <v>Mineracao Taboca S.A.</v>
      </c>
      <c r="S59" s="181" t="str">
        <f t="shared" ca="1" si="6"/>
        <v>BR</v>
      </c>
      <c r="T59" s="181" t="str">
        <f ca="1">IF(B59="","",IF(ISERROR(MATCH($J59,SorP!$B$1:$B$6279,0)),"",INDIRECT("'SorP'!$A$"&amp;MATCH($S59&amp;$J59,SorP!C:C,0))))</f>
        <v>BR-SP</v>
      </c>
      <c r="U59" s="201"/>
      <c r="V59" s="226">
        <f>IF(C59="",NA(),IF(OR(C59="Smelter not listed",C59="Smelter not yet identified"),MATCH($B59&amp;$D59,'Smelter Look-up'!$J:$J,0),MATCH($B59&amp;$C59,'Smelter Look-up'!$J:$J,0)))</f>
        <v>465</v>
      </c>
      <c r="X59" s="227">
        <f t="shared" si="7"/>
        <v>0</v>
      </c>
      <c r="AB59" s="228" t="str">
        <f t="shared" si="8"/>
        <v>TinMineracao Taboca S.A.</v>
      </c>
    </row>
    <row r="60" spans="1:28" s="227" customFormat="1" ht="20.25">
      <c r="A60" s="298" t="s">
        <v>753</v>
      </c>
      <c r="B60" s="293" t="s">
        <v>1127</v>
      </c>
      <c r="C60" s="294" t="s">
        <v>12430</v>
      </c>
      <c r="D60" s="295"/>
      <c r="E60" s="293" t="s">
        <v>15811</v>
      </c>
      <c r="F60" s="293" t="s">
        <v>753</v>
      </c>
      <c r="G60" s="293" t="s">
        <v>13240</v>
      </c>
      <c r="H60" s="296"/>
      <c r="I60" s="297" t="s">
        <v>1724</v>
      </c>
      <c r="J60" s="297" t="s">
        <v>1725</v>
      </c>
      <c r="K60" s="224"/>
      <c r="L60" s="224"/>
      <c r="M60" s="224"/>
      <c r="N60" s="224"/>
      <c r="O60" s="224"/>
      <c r="P60" s="185"/>
      <c r="Q60" s="225"/>
      <c r="R60" s="182" t="str">
        <f ca="1">IF(ISERROR($V60),"",OFFSET('Smelter Look-up'!$C$4,$V60-4,0)&amp;"")</f>
        <v>Mineracao Taboca S.A.</v>
      </c>
      <c r="S60" s="181" t="str">
        <f t="shared" ca="1" si="6"/>
        <v>BR</v>
      </c>
      <c r="T60" s="181" t="str">
        <f ca="1">IF(B60="","",IF(ISERROR(MATCH($J60,SorP!$B$1:$B$6279,0)),"",INDIRECT("'SorP'!$A$"&amp;MATCH($S60&amp;$J60,SorP!C:C,0))))</f>
        <v>BR-AM</v>
      </c>
      <c r="U60" s="201"/>
      <c r="V60" s="226">
        <f>IF(C60="",NA(),IF(OR(C60="Smelter not listed",C60="Smelter not yet identified"),MATCH($B60&amp;$D60,'Smelter Look-up'!$J:$J,0),MATCH($B60&amp;$C60,'Smelter Look-up'!$J:$J,0)))</f>
        <v>351</v>
      </c>
      <c r="X60" s="227">
        <f t="shared" si="7"/>
        <v>0</v>
      </c>
      <c r="AB60" s="228" t="str">
        <f t="shared" si="8"/>
        <v>TantalumMineracao Taboca S.A.</v>
      </c>
    </row>
    <row r="61" spans="1:28" s="227" customFormat="1" ht="20.25">
      <c r="A61" s="298" t="s">
        <v>773</v>
      </c>
      <c r="B61" s="293" t="s">
        <v>1126</v>
      </c>
      <c r="C61" s="294" t="s">
        <v>1030</v>
      </c>
      <c r="D61" s="295"/>
      <c r="E61" s="293" t="s">
        <v>15829</v>
      </c>
      <c r="F61" s="293" t="s">
        <v>773</v>
      </c>
      <c r="G61" s="293" t="s">
        <v>13240</v>
      </c>
      <c r="H61" s="296"/>
      <c r="I61" s="297" t="s">
        <v>1785</v>
      </c>
      <c r="J61" s="297" t="s">
        <v>9115</v>
      </c>
      <c r="K61" s="224"/>
      <c r="L61" s="224"/>
      <c r="M61" s="224"/>
      <c r="N61" s="224"/>
      <c r="O61" s="224"/>
      <c r="P61" s="185"/>
      <c r="Q61" s="225"/>
      <c r="R61" s="182" t="str">
        <f ca="1">IF(ISERROR($V61),"",OFFSET('Smelter Look-up'!$C$4,$V61-4,0)&amp;"")</f>
        <v>Minsur</v>
      </c>
      <c r="S61" s="181" t="str">
        <f t="shared" ca="1" si="6"/>
        <v>PE</v>
      </c>
      <c r="T61" s="181" t="str">
        <f ca="1">IF(B61="","",IF(ISERROR(MATCH($J61,SorP!$B$1:$B$6279,0)),"",INDIRECT("'SorP'!$A$"&amp;MATCH($S61&amp;$J61,SorP!C:C,0))))</f>
        <v>PE-ICA</v>
      </c>
      <c r="U61" s="201"/>
      <c r="V61" s="226">
        <f>IF(C61="",NA(),IF(OR(C61="Smelter not listed",C61="Smelter not yet identified"),MATCH($B61&amp;$D61,'Smelter Look-up'!$J:$J,0),MATCH($B61&amp;$C61,'Smelter Look-up'!$J:$J,0)))</f>
        <v>470</v>
      </c>
      <c r="X61" s="227">
        <f t="shared" si="7"/>
        <v>0</v>
      </c>
      <c r="AB61" s="228" t="str">
        <f t="shared" si="8"/>
        <v>TinMinsur</v>
      </c>
    </row>
    <row r="62" spans="1:28" s="227" customFormat="1" ht="20.25">
      <c r="A62" s="298" t="s">
        <v>708</v>
      </c>
      <c r="B62" s="293" t="s">
        <v>1125</v>
      </c>
      <c r="C62" s="294" t="s">
        <v>1159</v>
      </c>
      <c r="D62" s="295"/>
      <c r="E62" s="293" t="s">
        <v>15808</v>
      </c>
      <c r="F62" s="293" t="s">
        <v>708</v>
      </c>
      <c r="G62" s="293" t="s">
        <v>13240</v>
      </c>
      <c r="H62" s="296"/>
      <c r="I62" s="297" t="s">
        <v>1541</v>
      </c>
      <c r="J62" s="297" t="s">
        <v>1541</v>
      </c>
      <c r="K62" s="224"/>
      <c r="L62" s="224"/>
      <c r="M62" s="224"/>
      <c r="N62" s="224"/>
      <c r="O62" s="224"/>
      <c r="P62" s="185"/>
      <c r="Q62" s="225"/>
      <c r="R62" s="182" t="str">
        <f ca="1">IF(ISERROR($V62),"",OFFSET('Smelter Look-up'!$C$4,$V62-4,0)&amp;"")</f>
        <v>Mitsubishi Materials Corporation</v>
      </c>
      <c r="S62" s="181" t="str">
        <f t="shared" ca="1" si="6"/>
        <v>JP</v>
      </c>
      <c r="T62" s="181" t="str">
        <f ca="1">IF(B62="","",IF(ISERROR(MATCH($J62,SorP!$B$1:$B$6279,0)),"",INDIRECT("'SorP'!$A$"&amp;MATCH($S62&amp;$J62,SorP!C:C,0))))</f>
        <v>JP-13</v>
      </c>
      <c r="U62" s="201"/>
      <c r="V62" s="226">
        <f>IF(C62="",NA(),IF(OR(C62="Smelter not listed",C62="Smelter not yet identified"),MATCH($B62&amp;$D62,'Smelter Look-up'!$J:$J,0),MATCH($B62&amp;$C62,'Smelter Look-up'!$J:$J,0)))</f>
        <v>181</v>
      </c>
      <c r="X62" s="227">
        <f t="shared" si="7"/>
        <v>0</v>
      </c>
      <c r="AB62" s="228" t="str">
        <f t="shared" si="8"/>
        <v>GoldMitsubishi Materials Corporation</v>
      </c>
    </row>
    <row r="63" spans="1:28" s="227" customFormat="1" ht="20.25">
      <c r="A63" s="298" t="s">
        <v>774</v>
      </c>
      <c r="B63" s="293" t="s">
        <v>1126</v>
      </c>
      <c r="C63" s="294" t="s">
        <v>1159</v>
      </c>
      <c r="D63" s="295"/>
      <c r="E63" s="293" t="s">
        <v>15808</v>
      </c>
      <c r="F63" s="293" t="s">
        <v>774</v>
      </c>
      <c r="G63" s="293" t="s">
        <v>13240</v>
      </c>
      <c r="H63" s="296"/>
      <c r="I63" s="297" t="s">
        <v>1541</v>
      </c>
      <c r="J63" s="297" t="s">
        <v>1541</v>
      </c>
      <c r="K63" s="224"/>
      <c r="L63" s="224"/>
      <c r="M63" s="224"/>
      <c r="N63" s="224"/>
      <c r="O63" s="224"/>
      <c r="P63" s="185"/>
      <c r="Q63" s="225"/>
      <c r="R63" s="182" t="str">
        <f ca="1">IF(ISERROR($V63),"",OFFSET('Smelter Look-up'!$C$4,$V63-4,0)&amp;"")</f>
        <v>Mitsubishi Materials Corporation</v>
      </c>
      <c r="S63" s="181" t="str">
        <f t="shared" ca="1" si="6"/>
        <v>JP</v>
      </c>
      <c r="T63" s="181" t="str">
        <f ca="1">IF(B63="","",IF(ISERROR(MATCH($J63,SorP!$B$1:$B$6279,0)),"",INDIRECT("'SorP'!$A$"&amp;MATCH($S63&amp;$J63,SorP!C:C,0))))</f>
        <v>JP-13</v>
      </c>
      <c r="U63" s="201"/>
      <c r="V63" s="226">
        <f>IF(C63="",NA(),IF(OR(C63="Smelter not listed",C63="Smelter not yet identified"),MATCH($B63&amp;$D63,'Smelter Look-up'!$J:$J,0),MATCH($B63&amp;$C63,'Smelter Look-up'!$J:$J,0)))</f>
        <v>471</v>
      </c>
      <c r="X63" s="227">
        <f t="shared" si="7"/>
        <v>0</v>
      </c>
      <c r="AB63" s="228" t="str">
        <f t="shared" si="8"/>
        <v>TinMitsubishi Materials Corporation</v>
      </c>
    </row>
    <row r="64" spans="1:28" s="227" customFormat="1" ht="20.25">
      <c r="A64" s="298" t="s">
        <v>754</v>
      </c>
      <c r="B64" s="293" t="s">
        <v>1127</v>
      </c>
      <c r="C64" s="294" t="s">
        <v>1225</v>
      </c>
      <c r="D64" s="295"/>
      <c r="E64" s="293" t="s">
        <v>15808</v>
      </c>
      <c r="F64" s="293" t="s">
        <v>754</v>
      </c>
      <c r="G64" s="293" t="s">
        <v>13240</v>
      </c>
      <c r="H64" s="296"/>
      <c r="I64" s="297" t="s">
        <v>1726</v>
      </c>
      <c r="J64" s="297" t="s">
        <v>1727</v>
      </c>
      <c r="K64" s="224"/>
      <c r="L64" s="224"/>
      <c r="M64" s="224"/>
      <c r="N64" s="224"/>
      <c r="O64" s="224"/>
      <c r="P64" s="185"/>
      <c r="Q64" s="225"/>
      <c r="R64" s="182" t="str">
        <f ca="1">IF(ISERROR($V64),"",OFFSET('Smelter Look-up'!$C$4,$V64-4,0)&amp;"")</f>
        <v>Mitsui Mining and Smelting Co., Ltd.</v>
      </c>
      <c r="S64" s="181" t="str">
        <f t="shared" ca="1" si="6"/>
        <v>JP</v>
      </c>
      <c r="T64" s="181" t="str">
        <f ca="1">IF(B64="","",IF(ISERROR(MATCH($J64,SorP!$B$1:$B$6279,0)),"",INDIRECT("'SorP'!$A$"&amp;MATCH($S64&amp;$J64,SorP!C:C,0))))</f>
        <v>JP-40</v>
      </c>
      <c r="U64" s="201"/>
      <c r="V64" s="226">
        <f>IF(C64="",NA(),IF(OR(C64="Smelter not listed",C64="Smelter not yet identified"),MATCH($B64&amp;$D64,'Smelter Look-up'!$J:$J,0),MATCH($B64&amp;$C64,'Smelter Look-up'!$J:$J,0)))</f>
        <v>355</v>
      </c>
      <c r="X64" s="227">
        <f t="shared" si="7"/>
        <v>0</v>
      </c>
      <c r="AB64" s="228" t="str">
        <f t="shared" si="8"/>
        <v>TantalumMitsui Mining and Smelting Co., Ltd.</v>
      </c>
    </row>
    <row r="65" spans="1:28" s="227" customFormat="1" ht="20.25">
      <c r="A65" s="298" t="s">
        <v>709</v>
      </c>
      <c r="B65" s="293" t="s">
        <v>1125</v>
      </c>
      <c r="C65" s="294" t="s">
        <v>1225</v>
      </c>
      <c r="D65" s="295"/>
      <c r="E65" s="293" t="s">
        <v>15808</v>
      </c>
      <c r="F65" s="293" t="s">
        <v>709</v>
      </c>
      <c r="G65" s="293" t="s">
        <v>13240</v>
      </c>
      <c r="H65" s="296"/>
      <c r="I65" s="297" t="s">
        <v>1628</v>
      </c>
      <c r="J65" s="297" t="s">
        <v>1627</v>
      </c>
      <c r="K65" s="224"/>
      <c r="L65" s="224"/>
      <c r="M65" s="224"/>
      <c r="N65" s="224"/>
      <c r="O65" s="224"/>
      <c r="P65" s="185"/>
      <c r="Q65" s="225"/>
      <c r="R65" s="182" t="str">
        <f ca="1">IF(ISERROR($V65),"",OFFSET('Smelter Look-up'!$C$4,$V65-4,0)&amp;"")</f>
        <v>Mitsui Mining and Smelting Co., Ltd.</v>
      </c>
      <c r="S65" s="181" t="str">
        <f t="shared" ca="1" si="6"/>
        <v>JP</v>
      </c>
      <c r="T65" s="181" t="str">
        <f ca="1">IF(B65="","",IF(ISERROR(MATCH($J65,SorP!$B$1:$B$6279,0)),"",INDIRECT("'SorP'!$A$"&amp;MATCH($S65&amp;$J65,SorP!C:C,0))))</f>
        <v>JP-34</v>
      </c>
      <c r="U65" s="201"/>
      <c r="V65" s="226">
        <f>IF(C65="",NA(),IF(OR(C65="Smelter not listed",C65="Smelter not yet identified"),MATCH($B65&amp;$D65,'Smelter Look-up'!$J:$J,0),MATCH($B65&amp;$C65,'Smelter Look-up'!$J:$J,0)))</f>
        <v>183</v>
      </c>
      <c r="X65" s="227">
        <f t="shared" si="7"/>
        <v>0</v>
      </c>
      <c r="AB65" s="228" t="str">
        <f t="shared" si="8"/>
        <v>GoldMitsui Mining and Smelting Co., Ltd.</v>
      </c>
    </row>
    <row r="66" spans="1:28" s="227" customFormat="1" ht="20.25">
      <c r="A66" s="298" t="s">
        <v>755</v>
      </c>
      <c r="B66" s="293" t="s">
        <v>1127</v>
      </c>
      <c r="C66" s="294" t="s">
        <v>2526</v>
      </c>
      <c r="D66" s="295"/>
      <c r="E66" s="293" t="s">
        <v>15830</v>
      </c>
      <c r="F66" s="293" t="s">
        <v>755</v>
      </c>
      <c r="G66" s="293" t="s">
        <v>13240</v>
      </c>
      <c r="H66" s="296"/>
      <c r="I66" s="297" t="s">
        <v>1728</v>
      </c>
      <c r="J66" s="297" t="s">
        <v>1729</v>
      </c>
      <c r="K66" s="224"/>
      <c r="L66" s="224"/>
      <c r="M66" s="224"/>
      <c r="N66" s="224"/>
      <c r="O66" s="224"/>
      <c r="P66" s="185"/>
      <c r="Q66" s="225"/>
      <c r="R66" s="182" t="str">
        <f ca="1">IF(ISERROR($V66),"",OFFSET('Smelter Look-up'!$C$4,$V66-4,0)&amp;"")</f>
        <v>NPM Silmet AS</v>
      </c>
      <c r="S66" s="181" t="str">
        <f t="shared" ca="1" si="6"/>
        <v>EE</v>
      </c>
      <c r="T66" s="181" t="str">
        <f ca="1">IF(B66="","",IF(ISERROR(MATCH($J66,SorP!$B$1:$B$6279,0)),"",INDIRECT("'SorP'!$A$"&amp;MATCH($S66&amp;$J66,SorP!C:C,0))))</f>
        <v>EE-45</v>
      </c>
      <c r="U66" s="201"/>
      <c r="V66" s="226">
        <f>IF(C66="",NA(),IF(OR(C66="Smelter not listed",C66="Smelter not yet identified"),MATCH($B66&amp;$D66,'Smelter Look-up'!$J:$J,0),MATCH($B66&amp;$C66,'Smelter Look-up'!$J:$J,0)))</f>
        <v>359</v>
      </c>
      <c r="X66" s="227">
        <f t="shared" si="7"/>
        <v>0</v>
      </c>
      <c r="AB66" s="228" t="str">
        <f t="shared" si="8"/>
        <v>TantalumNPM Silmet AS</v>
      </c>
    </row>
    <row r="67" spans="1:28" s="227" customFormat="1" ht="20.25">
      <c r="A67" s="298" t="s">
        <v>711</v>
      </c>
      <c r="B67" s="293" t="s">
        <v>1125</v>
      </c>
      <c r="C67" s="294" t="s">
        <v>12431</v>
      </c>
      <c r="D67" s="295"/>
      <c r="E67" s="293" t="s">
        <v>15813</v>
      </c>
      <c r="F67" s="293" t="s">
        <v>711</v>
      </c>
      <c r="G67" s="293" t="s">
        <v>13240</v>
      </c>
      <c r="H67" s="296"/>
      <c r="I67" s="297" t="s">
        <v>1631</v>
      </c>
      <c r="J67" s="297" t="s">
        <v>11268</v>
      </c>
      <c r="K67" s="224"/>
      <c r="L67" s="224"/>
      <c r="M67" s="224"/>
      <c r="N67" s="224"/>
      <c r="O67" s="224"/>
      <c r="P67" s="185"/>
      <c r="Q67" s="225"/>
      <c r="R67" s="182" t="str">
        <f ca="1">IF(ISERROR($V67),"",OFFSET('Smelter Look-up'!$C$4,$V67-4,0)&amp;"")</f>
        <v>Nadir Metal Rafineri San. Ve Tic. A.S.</v>
      </c>
      <c r="S67" s="181" t="str">
        <f t="shared" ca="1" si="6"/>
        <v>TR</v>
      </c>
      <c r="T67" s="181" t="str">
        <f ca="1">IF(B67="","",IF(ISERROR(MATCH($J67,SorP!$B$1:$B$6279,0)),"",INDIRECT("'SorP'!$A$"&amp;MATCH($S67&amp;$J67,SorP!C:C,0))))</f>
        <v>TR-34</v>
      </c>
      <c r="U67" s="201"/>
      <c r="V67" s="226">
        <f>IF(C67="",NA(),IF(OR(C67="Smelter not listed",C67="Smelter not yet identified"),MATCH($B67&amp;$D67,'Smelter Look-up'!$J:$J,0),MATCH($B67&amp;$C67,'Smelter Look-up'!$J:$J,0)))</f>
        <v>189</v>
      </c>
      <c r="X67" s="227">
        <f t="shared" si="7"/>
        <v>0</v>
      </c>
      <c r="AB67" s="228" t="str">
        <f t="shared" si="8"/>
        <v>GoldNadir Metal Rafineri San. Ve Tic. A.S.</v>
      </c>
    </row>
    <row r="68" spans="1:28" s="227" customFormat="1" ht="20.25">
      <c r="A68" s="298" t="s">
        <v>1788</v>
      </c>
      <c r="B68" s="293" t="s">
        <v>1126</v>
      </c>
      <c r="C68" s="294" t="s">
        <v>13181</v>
      </c>
      <c r="D68" s="295"/>
      <c r="E68" s="293" t="s">
        <v>15818</v>
      </c>
      <c r="F68" s="293" t="s">
        <v>1788</v>
      </c>
      <c r="G68" s="293" t="s">
        <v>13240</v>
      </c>
      <c r="H68" s="296"/>
      <c r="I68" s="297" t="s">
        <v>1773</v>
      </c>
      <c r="J68" s="297" t="s">
        <v>13619</v>
      </c>
      <c r="K68" s="224"/>
      <c r="L68" s="224"/>
      <c r="M68" s="224"/>
      <c r="N68" s="224"/>
      <c r="O68" s="224"/>
      <c r="P68" s="185"/>
      <c r="Q68" s="225"/>
      <c r="R68" s="182" t="str">
        <f ca="1">IF(ISERROR($V68),"",OFFSET('Smelter Look-up'!$C$4,$V68-4,0)&amp;"")</f>
        <v>Jiangxi New Nanshan Technology Ltd.</v>
      </c>
      <c r="S68" s="181" t="str">
        <f t="shared" ca="1" si="6"/>
        <v>CN</v>
      </c>
      <c r="T68" s="181" t="str">
        <f ca="1">IF(B68="","",IF(ISERROR(MATCH($J68,SorP!$B$1:$B$6279,0)),"",INDIRECT("'SorP'!$A$"&amp;MATCH($S68&amp;$J68,SorP!C:C,0))))</f>
        <v>CN-JX</v>
      </c>
      <c r="U68" s="201"/>
      <c r="V68" s="226">
        <f>IF(C68="",NA(),IF(OR(C68="Smelter not listed",C68="Smelter not yet identified"),MATCH($B68&amp;$D68,'Smelter Look-up'!$J:$J,0),MATCH($B68&amp;$C68,'Smelter Look-up'!$J:$J,0)))</f>
        <v>450</v>
      </c>
      <c r="X68" s="227">
        <f t="shared" si="7"/>
        <v>0</v>
      </c>
      <c r="AB68" s="228" t="str">
        <f t="shared" si="8"/>
        <v>TinJiangxi New Nanshan Technology Ltd.</v>
      </c>
    </row>
    <row r="69" spans="1:28" s="227" customFormat="1" ht="20.25">
      <c r="A69" s="298" t="s">
        <v>712</v>
      </c>
      <c r="B69" s="293" t="s">
        <v>1125</v>
      </c>
      <c r="C69" s="294" t="s">
        <v>1226</v>
      </c>
      <c r="D69" s="295"/>
      <c r="E69" s="293" t="s">
        <v>15810</v>
      </c>
      <c r="F69" s="293" t="s">
        <v>712</v>
      </c>
      <c r="G69" s="293" t="s">
        <v>13240</v>
      </c>
      <c r="H69" s="296"/>
      <c r="I69" s="297" t="s">
        <v>1632</v>
      </c>
      <c r="J69" s="297" t="s">
        <v>12019</v>
      </c>
      <c r="K69" s="224"/>
      <c r="L69" s="224"/>
      <c r="M69" s="224"/>
      <c r="N69" s="224"/>
      <c r="O69" s="224"/>
      <c r="P69" s="185"/>
      <c r="Q69" s="225"/>
      <c r="R69" s="182" t="str">
        <f ca="1">IF(ISERROR($V69),"",OFFSET('Smelter Look-up'!$C$4,$V69-4,0)&amp;"")</f>
        <v>Navoi Mining and Metallurgical Combinat</v>
      </c>
      <c r="S69" s="181" t="str">
        <f t="shared" ref="S69" ca="1" si="9">IF(B69="","",IF(ISERROR(MATCH($E69,CL,0)),"Unknown",INDIRECT("'C'!$A$"&amp;MATCH($E69,CL,0)+1)))</f>
        <v>UZ</v>
      </c>
      <c r="T69" s="181" t="str">
        <f ca="1">IF(B69="","",IF(ISERROR(MATCH($J69,SorP!$B$1:$B$6279,0)),"",INDIRECT("'SorP'!$A$"&amp;MATCH($S69&amp;$J69,SorP!C:C,0))))</f>
        <v>UZ-NW</v>
      </c>
      <c r="U69" s="201"/>
      <c r="V69" s="226">
        <f>IF(C69="",NA(),IF(OR(C69="Smelter not listed",C69="Smelter not yet identified"),MATCH($B69&amp;$D69,'Smelter Look-up'!$J:$J,0),MATCH($B69&amp;$C69,'Smelter Look-up'!$J:$J,0)))</f>
        <v>191</v>
      </c>
      <c r="X69" s="227">
        <f t="shared" ref="X69" si="10">IF(AND(C69="Smelter not listed",OR(LEN(D69)=0,LEN(E69)=0)),1,0)</f>
        <v>0</v>
      </c>
      <c r="AB69" s="228" t="str">
        <f t="shared" ref="AB69" si="11">B69&amp;C69</f>
        <v>GoldNavoi Mining and Metallurgical Combinat</v>
      </c>
    </row>
    <row r="70" spans="1:28" s="227" customFormat="1" ht="20.25">
      <c r="A70" s="298" t="s">
        <v>713</v>
      </c>
      <c r="B70" s="293" t="s">
        <v>1125</v>
      </c>
      <c r="C70" s="294" t="s">
        <v>2154</v>
      </c>
      <c r="D70" s="295"/>
      <c r="E70" s="293" t="s">
        <v>15808</v>
      </c>
      <c r="F70" s="293" t="s">
        <v>713</v>
      </c>
      <c r="G70" s="293" t="s">
        <v>13240</v>
      </c>
      <c r="H70" s="296"/>
      <c r="I70" s="297" t="s">
        <v>1633</v>
      </c>
      <c r="J70" s="297" t="s">
        <v>1634</v>
      </c>
      <c r="K70" s="224"/>
      <c r="L70" s="224"/>
      <c r="M70" s="224"/>
      <c r="N70" s="224"/>
      <c r="O70" s="224"/>
      <c r="P70" s="185"/>
      <c r="Q70" s="225"/>
      <c r="R70" s="182" t="str">
        <f ca="1">IF(ISERROR($V70),"",OFFSET('Smelter Look-up'!$C$4,$V70-4,0)&amp;"")</f>
        <v>Nihon Material Co., Ltd.</v>
      </c>
      <c r="S70" s="181" t="str">
        <f t="shared" ref="S70:S101" ca="1" si="12">IF(B70="","",IF(ISERROR(MATCH($E70,CL,0)),"Unknown",INDIRECT("'C'!$A$"&amp;MATCH($E70,CL,0)+1)))</f>
        <v>JP</v>
      </c>
      <c r="T70" s="181" t="str">
        <f ca="1">IF(B70="","",IF(ISERROR(MATCH($J70,SorP!$B$1:$B$6279,0)),"",INDIRECT("'SorP'!$A$"&amp;MATCH($S70&amp;$J70,SorP!C:C,0))))</f>
        <v>JP-12</v>
      </c>
      <c r="U70" s="201"/>
      <c r="V70" s="226">
        <f>IF(C70="",NA(),IF(OR(C70="Smelter not listed",C70="Smelter not yet identified"),MATCH($B70&amp;$D70,'Smelter Look-up'!$J:$J,0),MATCH($B70&amp;$C70,'Smelter Look-up'!$J:$J,0)))</f>
        <v>193</v>
      </c>
      <c r="X70" s="227">
        <f t="shared" ref="X70:X101" si="13">IF(AND(C70="Smelter not listed",OR(LEN(D70)=0,LEN(E70)=0)),1,0)</f>
        <v>0</v>
      </c>
      <c r="AB70" s="228" t="str">
        <f t="shared" ref="AB70:AB101" si="14">B70&amp;C70</f>
        <v>GoldNihon Material Co., Ltd.</v>
      </c>
    </row>
    <row r="71" spans="1:28" s="227" customFormat="1" ht="20.25">
      <c r="A71" s="298" t="s">
        <v>756</v>
      </c>
      <c r="B71" s="293" t="s">
        <v>1127</v>
      </c>
      <c r="C71" s="294" t="s">
        <v>1026</v>
      </c>
      <c r="D71" s="295"/>
      <c r="E71" s="293" t="s">
        <v>15818</v>
      </c>
      <c r="F71" s="293" t="s">
        <v>756</v>
      </c>
      <c r="G71" s="293" t="s">
        <v>13240</v>
      </c>
      <c r="H71" s="296"/>
      <c r="I71" s="297" t="s">
        <v>1730</v>
      </c>
      <c r="J71" s="297" t="s">
        <v>13605</v>
      </c>
      <c r="K71" s="224"/>
      <c r="L71" s="224"/>
      <c r="M71" s="224"/>
      <c r="N71" s="224"/>
      <c r="O71" s="224"/>
      <c r="P71" s="185"/>
      <c r="Q71" s="225"/>
      <c r="R71" s="182" t="str">
        <f ca="1">IF(ISERROR($V71),"",OFFSET('Smelter Look-up'!$C$4,$V71-4,0)&amp;"")</f>
        <v>Ningxia Orient Tantalum Industry Co., Ltd.</v>
      </c>
      <c r="S71" s="181" t="str">
        <f t="shared" ca="1" si="12"/>
        <v>CN</v>
      </c>
      <c r="T71" s="181" t="str">
        <f ca="1">IF(B71="","",IF(ISERROR(MATCH($J71,SorP!$B$1:$B$6279,0)),"",INDIRECT("'SorP'!$A$"&amp;MATCH($S71&amp;$J71,SorP!C:C,0))))</f>
        <v>CN-NX</v>
      </c>
      <c r="U71" s="201"/>
      <c r="V71" s="226">
        <f>IF(C71="",NA(),IF(OR(C71="Smelter not listed",C71="Smelter not yet identified"),MATCH($B71&amp;$D71,'Smelter Look-up'!$J:$J,0),MATCH($B71&amp;$C71,'Smelter Look-up'!$J:$J,0)))</f>
        <v>358</v>
      </c>
      <c r="X71" s="227">
        <f t="shared" si="13"/>
        <v>0</v>
      </c>
      <c r="AB71" s="228" t="str">
        <f t="shared" si="14"/>
        <v>TantalumNingxia Orient Tantalum Industry Co., Ltd.</v>
      </c>
    </row>
    <row r="72" spans="1:28" s="227" customFormat="1" ht="20.25">
      <c r="A72" s="298" t="s">
        <v>776</v>
      </c>
      <c r="B72" s="293" t="s">
        <v>1126</v>
      </c>
      <c r="C72" s="294" t="s">
        <v>775</v>
      </c>
      <c r="D72" s="295"/>
      <c r="E72" s="293" t="s">
        <v>15831</v>
      </c>
      <c r="F72" s="293" t="s">
        <v>776</v>
      </c>
      <c r="G72" s="293" t="s">
        <v>13240</v>
      </c>
      <c r="H72" s="296"/>
      <c r="I72" s="297" t="s">
        <v>2340</v>
      </c>
      <c r="J72" s="297" t="s">
        <v>11025</v>
      </c>
      <c r="K72" s="224"/>
      <c r="L72" s="224"/>
      <c r="M72" s="224"/>
      <c r="N72" s="224"/>
      <c r="O72" s="224"/>
      <c r="P72" s="185"/>
      <c r="Q72" s="225"/>
      <c r="R72" s="182" t="str">
        <f ca="1">IF(ISERROR($V72),"",OFFSET('Smelter Look-up'!$C$4,$V72-4,0)&amp;"")</f>
        <v>O.M. Manufacturing (Thailand) Co., Ltd.</v>
      </c>
      <c r="S72" s="181" t="str">
        <f t="shared" ca="1" si="12"/>
        <v>TH</v>
      </c>
      <c r="T72" s="181" t="str">
        <f ca="1">IF(B72="","",IF(ISERROR(MATCH($J72,SorP!$B$1:$B$6279,0)),"",INDIRECT("'SorP'!$A$"&amp;MATCH($S72&amp;$J72,SorP!C:C,0))))</f>
        <v>TH-20</v>
      </c>
      <c r="U72" s="201"/>
      <c r="V72" s="226">
        <f>IF(C72="",NA(),IF(OR(C72="Smelter not listed",C72="Smelter not yet identified"),MATCH($B72&amp;$D72,'Smelter Look-up'!$J:$J,0),MATCH($B72&amp;$C72,'Smelter Look-up'!$J:$J,0)))</f>
        <v>479</v>
      </c>
      <c r="X72" s="227">
        <f t="shared" si="13"/>
        <v>0</v>
      </c>
      <c r="AB72" s="228" t="str">
        <f t="shared" si="14"/>
        <v>TinO.M. Manufacturing (Thailand) Co., Ltd.</v>
      </c>
    </row>
    <row r="73" spans="1:28" s="227" customFormat="1" ht="20.25">
      <c r="A73" s="298" t="s">
        <v>714</v>
      </c>
      <c r="B73" s="293" t="s">
        <v>1125</v>
      </c>
      <c r="C73" s="294" t="s">
        <v>2155</v>
      </c>
      <c r="D73" s="295"/>
      <c r="E73" s="293" t="s">
        <v>15808</v>
      </c>
      <c r="F73" s="293" t="s">
        <v>714</v>
      </c>
      <c r="G73" s="293" t="s">
        <v>13240</v>
      </c>
      <c r="H73" s="296"/>
      <c r="I73" s="297" t="s">
        <v>1636</v>
      </c>
      <c r="J73" s="297" t="s">
        <v>1637</v>
      </c>
      <c r="K73" s="224"/>
      <c r="L73" s="224"/>
      <c r="M73" s="224"/>
      <c r="N73" s="224"/>
      <c r="O73" s="224"/>
      <c r="P73" s="185"/>
      <c r="Q73" s="225"/>
      <c r="R73" s="182" t="str">
        <f ca="1">IF(ISERROR($V73),"",OFFSET('Smelter Look-up'!$C$4,$V73-4,0)&amp;"")</f>
        <v>Ohura Precious Metal Industry Co., Ltd.</v>
      </c>
      <c r="S73" s="181" t="str">
        <f t="shared" ca="1" si="12"/>
        <v>JP</v>
      </c>
      <c r="T73" s="181" t="str">
        <f ca="1">IF(B73="","",IF(ISERROR(MATCH($J73,SorP!$B$1:$B$6279,0)),"",INDIRECT("'SorP'!$A$"&amp;MATCH($S73&amp;$J73,SorP!C:C,0))))</f>
        <v>JP-29</v>
      </c>
      <c r="U73" s="201"/>
      <c r="V73" s="226">
        <f>IF(C73="",NA(),IF(OR(C73="Smelter not listed",C73="Smelter not yet identified"),MATCH($B73&amp;$D73,'Smelter Look-up'!$J:$J,0),MATCH($B73&amp;$C73,'Smelter Look-up'!$J:$J,0)))</f>
        <v>198</v>
      </c>
      <c r="X73" s="227">
        <f t="shared" si="13"/>
        <v>0</v>
      </c>
      <c r="AB73" s="228" t="str">
        <f t="shared" si="14"/>
        <v>GoldOhura Precious Metal Industry Co., Ltd.</v>
      </c>
    </row>
    <row r="74" spans="1:28" s="227" customFormat="1" ht="25.5">
      <c r="A74" s="298" t="s">
        <v>777</v>
      </c>
      <c r="B74" s="293" t="s">
        <v>1126</v>
      </c>
      <c r="C74" s="294" t="s">
        <v>13803</v>
      </c>
      <c r="D74" s="295"/>
      <c r="E74" s="293" t="s">
        <v>15822</v>
      </c>
      <c r="F74" s="293" t="s">
        <v>777</v>
      </c>
      <c r="G74" s="293" t="s">
        <v>13240</v>
      </c>
      <c r="H74" s="296"/>
      <c r="I74" s="297" t="s">
        <v>1769</v>
      </c>
      <c r="J74" s="297" t="s">
        <v>1769</v>
      </c>
      <c r="K74" s="224"/>
      <c r="L74" s="224"/>
      <c r="M74" s="224"/>
      <c r="N74" s="224"/>
      <c r="O74" s="224"/>
      <c r="P74" s="185"/>
      <c r="Q74" s="225"/>
      <c r="R74" s="182" t="str">
        <f ca="1">IF(ISERROR($V74),"",OFFSET('Smelter Look-up'!$C$4,$V74-4,0)&amp;"")</f>
        <v>Operaciones Metalurgicas S.A.</v>
      </c>
      <c r="S74" s="181" t="str">
        <f t="shared" ca="1" si="12"/>
        <v>BO</v>
      </c>
      <c r="T74" s="181" t="str">
        <f ca="1">IF(B74="","",IF(ISERROR(MATCH($J74,SorP!$B$1:$B$6279,0)),"",INDIRECT("'SorP'!$A$"&amp;MATCH($S74&amp;$J74,SorP!C:C,0))))</f>
        <v>BO-O</v>
      </c>
      <c r="U74" s="201"/>
      <c r="V74" s="226">
        <f>IF(C74="",NA(),IF(OR(C74="Smelter not listed",C74="Smelter not yet identified"),MATCH($B74&amp;$D74,'Smelter Look-up'!$J:$J,0),MATCH($B74&amp;$C74,'Smelter Look-up'!$J:$J,0)))</f>
        <v>482</v>
      </c>
      <c r="X74" s="227">
        <f t="shared" si="13"/>
        <v>0</v>
      </c>
      <c r="AB74" s="228" t="str">
        <f t="shared" si="14"/>
        <v>TinOperaciones Metalurgicas S.A.</v>
      </c>
    </row>
    <row r="75" spans="1:28" s="227" customFormat="1" ht="20.25">
      <c r="A75" s="298" t="s">
        <v>719</v>
      </c>
      <c r="B75" s="293" t="s">
        <v>1125</v>
      </c>
      <c r="C75" s="294" t="s">
        <v>1227</v>
      </c>
      <c r="D75" s="295"/>
      <c r="E75" s="293" t="s">
        <v>15820</v>
      </c>
      <c r="F75" s="293" t="s">
        <v>719</v>
      </c>
      <c r="G75" s="293" t="s">
        <v>13240</v>
      </c>
      <c r="H75" s="296"/>
      <c r="I75" s="297" t="s">
        <v>1641</v>
      </c>
      <c r="J75" s="297" t="s">
        <v>6003</v>
      </c>
      <c r="K75" s="224"/>
      <c r="L75" s="224"/>
      <c r="M75" s="224"/>
      <c r="N75" s="224"/>
      <c r="O75" s="224"/>
      <c r="P75" s="185"/>
      <c r="Q75" s="225"/>
      <c r="R75" s="182" t="str">
        <f ca="1">IF(ISERROR($V75),"",OFFSET('Smelter Look-up'!$C$4,$V75-4,0)&amp;"")</f>
        <v>PT Aneka Tambang (Persero) Tbk</v>
      </c>
      <c r="S75" s="181" t="str">
        <f t="shared" ca="1" si="12"/>
        <v>ID</v>
      </c>
      <c r="T75" s="181" t="str">
        <f ca="1">IF(B75="","",IF(ISERROR(MATCH($J75,SorP!$B$1:$B$6279,0)),"",INDIRECT("'SorP'!$A$"&amp;MATCH($S75&amp;$J75,SorP!C:C,0))))</f>
        <v>ID-JK</v>
      </c>
      <c r="U75" s="201"/>
      <c r="V75" s="226">
        <f>IF(C75="",NA(),IF(OR(C75="Smelter not listed",C75="Smelter not yet identified"),MATCH($B75&amp;$D75,'Smelter Look-up'!$J:$J,0),MATCH($B75&amp;$C75,'Smelter Look-up'!$J:$J,0)))</f>
        <v>211</v>
      </c>
      <c r="X75" s="227">
        <f t="shared" si="13"/>
        <v>0</v>
      </c>
      <c r="AB75" s="228" t="str">
        <f t="shared" si="14"/>
        <v>GoldPT Aneka Tambang (Persero) Tbk</v>
      </c>
    </row>
    <row r="76" spans="1:28" s="227" customFormat="1" ht="25.5">
      <c r="A76" s="298" t="s">
        <v>778</v>
      </c>
      <c r="B76" s="293" t="s">
        <v>1126</v>
      </c>
      <c r="C76" s="294" t="s">
        <v>840</v>
      </c>
      <c r="D76" s="295"/>
      <c r="E76" s="293" t="s">
        <v>15820</v>
      </c>
      <c r="F76" s="293" t="s">
        <v>778</v>
      </c>
      <c r="G76" s="293" t="s">
        <v>13240</v>
      </c>
      <c r="H76" s="296"/>
      <c r="I76" s="297" t="s">
        <v>1767</v>
      </c>
      <c r="J76" s="297" t="s">
        <v>12852</v>
      </c>
      <c r="K76" s="224"/>
      <c r="L76" s="224"/>
      <c r="M76" s="224"/>
      <c r="N76" s="224"/>
      <c r="O76" s="224"/>
      <c r="P76" s="185"/>
      <c r="Q76" s="225"/>
      <c r="R76" s="182" t="str">
        <f ca="1">IF(ISERROR($V76),"",OFFSET('Smelter Look-up'!$C$4,$V76-4,0)&amp;"")</f>
        <v>PT Artha Cipta Langgeng</v>
      </c>
      <c r="S76" s="181" t="str">
        <f t="shared" ca="1" si="12"/>
        <v>ID</v>
      </c>
      <c r="T76" s="181" t="str">
        <f ca="1">IF(B76="","",IF(ISERROR(MATCH($J76,SorP!$B$1:$B$6279,0)),"",INDIRECT("'SorP'!$A$"&amp;MATCH($S76&amp;$J76,SorP!C:C,0))))</f>
        <v>ID-BB</v>
      </c>
      <c r="U76" s="201"/>
      <c r="V76" s="226">
        <f>IF(C76="",NA(),IF(OR(C76="Smelter not listed",C76="Smelter not yet identified"),MATCH($B76&amp;$D76,'Smelter Look-up'!$J:$J,0),MATCH($B76&amp;$C76,'Smelter Look-up'!$J:$J,0)))</f>
        <v>487</v>
      </c>
      <c r="X76" s="227">
        <f t="shared" si="13"/>
        <v>0</v>
      </c>
      <c r="AB76" s="228" t="str">
        <f t="shared" si="14"/>
        <v>TinPT Artha Cipta Langgeng</v>
      </c>
    </row>
    <row r="77" spans="1:28" s="227" customFormat="1" ht="25.5">
      <c r="A77" s="298" t="s">
        <v>15479</v>
      </c>
      <c r="B77" s="293" t="s">
        <v>1126</v>
      </c>
      <c r="C77" s="294" t="s">
        <v>15478</v>
      </c>
      <c r="D77" s="295"/>
      <c r="E77" s="293" t="s">
        <v>15820</v>
      </c>
      <c r="F77" s="293" t="s">
        <v>15479</v>
      </c>
      <c r="G77" s="293" t="s">
        <v>13240</v>
      </c>
      <c r="H77" s="296"/>
      <c r="I77" s="297" t="s">
        <v>15480</v>
      </c>
      <c r="J77" s="297" t="s">
        <v>12852</v>
      </c>
      <c r="K77" s="224"/>
      <c r="L77" s="224"/>
      <c r="M77" s="224"/>
      <c r="N77" s="224"/>
      <c r="O77" s="224"/>
      <c r="P77" s="185"/>
      <c r="Q77" s="225"/>
      <c r="R77" s="182" t="str">
        <f ca="1">IF(ISERROR($V77),"",OFFSET('Smelter Look-up'!$C$4,$V77-4,0)&amp;"")</f>
        <v>PT Babel Inti Perkasa</v>
      </c>
      <c r="S77" s="181" t="str">
        <f t="shared" ca="1" si="12"/>
        <v>ID</v>
      </c>
      <c r="T77" s="181" t="str">
        <f ca="1">IF(B77="","",IF(ISERROR(MATCH($J77,SorP!$B$1:$B$6279,0)),"",INDIRECT("'SorP'!$A$"&amp;MATCH($S77&amp;$J77,SorP!C:C,0))))</f>
        <v>ID-BB</v>
      </c>
      <c r="U77" s="201"/>
      <c r="V77" s="226">
        <f>IF(C77="",NA(),IF(OR(C77="Smelter not listed",C77="Smelter not yet identified"),MATCH($B77&amp;$D77,'Smelter Look-up'!$J:$J,0),MATCH($B77&amp;$C77,'Smelter Look-up'!$J:$J,0)))</f>
        <v>489</v>
      </c>
      <c r="X77" s="227">
        <f t="shared" si="13"/>
        <v>0</v>
      </c>
      <c r="AB77" s="228" t="str">
        <f t="shared" si="14"/>
        <v>TinPT Babel Inti Perkasa</v>
      </c>
    </row>
    <row r="78" spans="1:28" s="227" customFormat="1" ht="25.5">
      <c r="A78" s="298" t="s">
        <v>15108</v>
      </c>
      <c r="B78" s="293" t="s">
        <v>1126</v>
      </c>
      <c r="C78" s="294" t="s">
        <v>15107</v>
      </c>
      <c r="D78" s="295"/>
      <c r="E78" s="293" t="s">
        <v>15820</v>
      </c>
      <c r="F78" s="293" t="s">
        <v>15108</v>
      </c>
      <c r="G78" s="293" t="s">
        <v>13240</v>
      </c>
      <c r="H78" s="296"/>
      <c r="I78" s="297" t="s">
        <v>15146</v>
      </c>
      <c r="J78" s="297" t="s">
        <v>12852</v>
      </c>
      <c r="K78" s="224"/>
      <c r="L78" s="224"/>
      <c r="M78" s="224"/>
      <c r="N78" s="224"/>
      <c r="O78" s="224"/>
      <c r="P78" s="185"/>
      <c r="Q78" s="225"/>
      <c r="R78" s="182" t="str">
        <f ca="1">IF(ISERROR($V78),"",OFFSET('Smelter Look-up'!$C$4,$V78-4,0)&amp;"")</f>
        <v>PT Babel Surya Alam Lestari</v>
      </c>
      <c r="S78" s="181" t="str">
        <f t="shared" ca="1" si="12"/>
        <v>ID</v>
      </c>
      <c r="T78" s="181" t="str">
        <f ca="1">IF(B78="","",IF(ISERROR(MATCH($J78,SorP!$B$1:$B$6279,0)),"",INDIRECT("'SorP'!$A$"&amp;MATCH($S78&amp;$J78,SorP!C:C,0))))</f>
        <v>ID-BB</v>
      </c>
      <c r="U78" s="201"/>
      <c r="V78" s="226">
        <f>IF(C78="",NA(),IF(OR(C78="Smelter not listed",C78="Smelter not yet identified"),MATCH($B78&amp;$D78,'Smelter Look-up'!$J:$J,0),MATCH($B78&amp;$C78,'Smelter Look-up'!$J:$J,0)))</f>
        <v>490</v>
      </c>
      <c r="X78" s="227">
        <f t="shared" si="13"/>
        <v>0</v>
      </c>
      <c r="AB78" s="228" t="str">
        <f t="shared" si="14"/>
        <v>TinPT Babel Surya Alam Lestari</v>
      </c>
    </row>
    <row r="79" spans="1:28" s="227" customFormat="1" ht="25.5">
      <c r="A79" s="298" t="s">
        <v>15471</v>
      </c>
      <c r="B79" s="293" t="s">
        <v>1126</v>
      </c>
      <c r="C79" s="294" t="s">
        <v>15470</v>
      </c>
      <c r="D79" s="295"/>
      <c r="E79" s="293" t="s">
        <v>15820</v>
      </c>
      <c r="F79" s="293" t="s">
        <v>15471</v>
      </c>
      <c r="G79" s="293" t="s">
        <v>13240</v>
      </c>
      <c r="H79" s="296"/>
      <c r="I79" s="297" t="s">
        <v>15143</v>
      </c>
      <c r="J79" s="297" t="s">
        <v>12852</v>
      </c>
      <c r="K79" s="224"/>
      <c r="L79" s="224"/>
      <c r="M79" s="224"/>
      <c r="N79" s="224"/>
      <c r="O79" s="224"/>
      <c r="P79" s="185"/>
      <c r="Q79" s="225"/>
      <c r="R79" s="182" t="str">
        <f ca="1">IF(ISERROR($V79),"",OFFSET('Smelter Look-up'!$C$4,$V79-4,0)&amp;"")</f>
        <v>PT Bukit Timah</v>
      </c>
      <c r="S79" s="181" t="str">
        <f t="shared" ca="1" si="12"/>
        <v>ID</v>
      </c>
      <c r="T79" s="181" t="str">
        <f ca="1">IF(B79="","",IF(ISERROR(MATCH($J79,SorP!$B$1:$B$6279,0)),"",INDIRECT("'SorP'!$A$"&amp;MATCH($S79&amp;$J79,SorP!C:C,0))))</f>
        <v>ID-BB</v>
      </c>
      <c r="U79" s="201"/>
      <c r="V79" s="226">
        <f>IF(C79="",NA(),IF(OR(C79="Smelter not listed",C79="Smelter not yet identified"),MATCH($B79&amp;$D79,'Smelter Look-up'!$J:$J,0),MATCH($B79&amp;$C79,'Smelter Look-up'!$J:$J,0)))</f>
        <v>495</v>
      </c>
      <c r="X79" s="227">
        <f t="shared" si="13"/>
        <v>0</v>
      </c>
      <c r="AB79" s="228" t="str">
        <f t="shared" si="14"/>
        <v>TinPT Bukit Timah</v>
      </c>
    </row>
    <row r="80" spans="1:28" s="227" customFormat="1" ht="25.5">
      <c r="A80" s="298" t="s">
        <v>779</v>
      </c>
      <c r="B80" s="293" t="s">
        <v>1126</v>
      </c>
      <c r="C80" s="294" t="s">
        <v>627</v>
      </c>
      <c r="D80" s="295"/>
      <c r="E80" s="293" t="s">
        <v>15820</v>
      </c>
      <c r="F80" s="293" t="s">
        <v>779</v>
      </c>
      <c r="G80" s="293" t="s">
        <v>13240</v>
      </c>
      <c r="H80" s="296"/>
      <c r="I80" s="297" t="s">
        <v>1767</v>
      </c>
      <c r="J80" s="297" t="s">
        <v>12852</v>
      </c>
      <c r="K80" s="224"/>
      <c r="L80" s="224"/>
      <c r="M80" s="224"/>
      <c r="N80" s="224"/>
      <c r="O80" s="224"/>
      <c r="P80" s="185"/>
      <c r="Q80" s="225"/>
      <c r="R80" s="182" t="str">
        <f ca="1">IF(ISERROR($V80),"",OFFSET('Smelter Look-up'!$C$4,$V80-4,0)&amp;"")</f>
        <v>PT Mitra Stania Prima</v>
      </c>
      <c r="S80" s="181" t="str">
        <f t="shared" ca="1" si="12"/>
        <v>ID</v>
      </c>
      <c r="T80" s="181" t="str">
        <f ca="1">IF(B80="","",IF(ISERROR(MATCH($J80,SorP!$B$1:$B$6279,0)),"",INDIRECT("'SorP'!$A$"&amp;MATCH($S80&amp;$J80,SorP!C:C,0))))</f>
        <v>ID-BB</v>
      </c>
      <c r="U80" s="201"/>
      <c r="V80" s="226">
        <f>IF(C80="",NA(),IF(OR(C80="Smelter not listed",C80="Smelter not yet identified"),MATCH($B80&amp;$D80,'Smelter Look-up'!$J:$J,0),MATCH($B80&amp;$C80,'Smelter Look-up'!$J:$J,0)))</f>
        <v>500</v>
      </c>
      <c r="X80" s="227">
        <f t="shared" si="13"/>
        <v>0</v>
      </c>
      <c r="AB80" s="228" t="str">
        <f t="shared" si="14"/>
        <v>TinPT Mitra Stania Prima</v>
      </c>
    </row>
    <row r="81" spans="1:28" s="227" customFormat="1" ht="25.5">
      <c r="A81" s="298" t="s">
        <v>15112</v>
      </c>
      <c r="B81" s="293" t="s">
        <v>1126</v>
      </c>
      <c r="C81" s="294" t="s">
        <v>15111</v>
      </c>
      <c r="D81" s="295"/>
      <c r="E81" s="293" t="s">
        <v>15820</v>
      </c>
      <c r="F81" s="293" t="s">
        <v>15112</v>
      </c>
      <c r="G81" s="293" t="s">
        <v>13240</v>
      </c>
      <c r="H81" s="296"/>
      <c r="I81" s="297" t="s">
        <v>15143</v>
      </c>
      <c r="J81" s="297" t="s">
        <v>12852</v>
      </c>
      <c r="K81" s="224"/>
      <c r="L81" s="224"/>
      <c r="M81" s="224"/>
      <c r="N81" s="224"/>
      <c r="O81" s="224"/>
      <c r="P81" s="185"/>
      <c r="Q81" s="225"/>
      <c r="R81" s="182" t="str">
        <f ca="1">IF(ISERROR($V81),"",OFFSET('Smelter Look-up'!$C$4,$V81-4,0)&amp;"")</f>
        <v>PT Prima Timah Utama</v>
      </c>
      <c r="S81" s="181" t="str">
        <f t="shared" ca="1" si="12"/>
        <v>ID</v>
      </c>
      <c r="T81" s="181" t="str">
        <f ca="1">IF(B81="","",IF(ISERROR(MATCH($J81,SorP!$B$1:$B$6279,0)),"",INDIRECT("'SorP'!$A$"&amp;MATCH($S81&amp;$J81,SorP!C:C,0))))</f>
        <v>ID-BB</v>
      </c>
      <c r="U81" s="201"/>
      <c r="V81" s="226">
        <f>IF(C81="",NA(),IF(OR(C81="Smelter not listed",C81="Smelter not yet identified"),MATCH($B81&amp;$D81,'Smelter Look-up'!$J:$J,0),MATCH($B81&amp;$C81,'Smelter Look-up'!$J:$J,0)))</f>
        <v>504</v>
      </c>
      <c r="X81" s="227">
        <f t="shared" si="13"/>
        <v>0</v>
      </c>
      <c r="AB81" s="228" t="str">
        <f t="shared" si="14"/>
        <v>TinPT Prima Timah Utama</v>
      </c>
    </row>
    <row r="82" spans="1:28" s="227" customFormat="1" ht="25.5">
      <c r="A82" s="298" t="s">
        <v>780</v>
      </c>
      <c r="B82" s="293" t="s">
        <v>1126</v>
      </c>
      <c r="C82" s="294" t="s">
        <v>2157</v>
      </c>
      <c r="D82" s="295"/>
      <c r="E82" s="293" t="s">
        <v>15820</v>
      </c>
      <c r="F82" s="293" t="s">
        <v>780</v>
      </c>
      <c r="G82" s="293" t="s">
        <v>13240</v>
      </c>
      <c r="H82" s="296"/>
      <c r="I82" s="297" t="s">
        <v>1767</v>
      </c>
      <c r="J82" s="297" t="s">
        <v>12852</v>
      </c>
      <c r="K82" s="224"/>
      <c r="L82" s="224"/>
      <c r="M82" s="224"/>
      <c r="N82" s="224"/>
      <c r="O82" s="224"/>
      <c r="P82" s="185"/>
      <c r="Q82" s="225"/>
      <c r="R82" s="182" t="str">
        <f ca="1">IF(ISERROR($V82),"",OFFSET('Smelter Look-up'!$C$4,$V82-4,0)&amp;"")</f>
        <v>PT Refined Bangka Tin</v>
      </c>
      <c r="S82" s="181" t="str">
        <f t="shared" ca="1" si="12"/>
        <v>ID</v>
      </c>
      <c r="T82" s="181" t="str">
        <f ca="1">IF(B82="","",IF(ISERROR(MATCH($J82,SorP!$B$1:$B$6279,0)),"",INDIRECT("'SorP'!$A$"&amp;MATCH($S82&amp;$J82,SorP!C:C,0))))</f>
        <v>ID-BB</v>
      </c>
      <c r="U82" s="201"/>
      <c r="V82" s="226">
        <f>IF(C82="",NA(),IF(OR(C82="Smelter not listed",C82="Smelter not yet identified"),MATCH($B82&amp;$D82,'Smelter Look-up'!$J:$J,0),MATCH($B82&amp;$C82,'Smelter Look-up'!$J:$J,0)))</f>
        <v>507</v>
      </c>
      <c r="X82" s="227">
        <f t="shared" si="13"/>
        <v>0</v>
      </c>
      <c r="AB82" s="228" t="str">
        <f t="shared" si="14"/>
        <v>TinPT Refined Bangka Tin</v>
      </c>
    </row>
    <row r="83" spans="1:28" s="227" customFormat="1" ht="25.5">
      <c r="A83" s="298" t="s">
        <v>15493</v>
      </c>
      <c r="B83" s="293" t="s">
        <v>1126</v>
      </c>
      <c r="C83" s="294" t="s">
        <v>15492</v>
      </c>
      <c r="D83" s="295"/>
      <c r="E83" s="293" t="s">
        <v>15820</v>
      </c>
      <c r="F83" s="293" t="s">
        <v>15493</v>
      </c>
      <c r="G83" s="293" t="s">
        <v>13240</v>
      </c>
      <c r="H83" s="296"/>
      <c r="I83" s="297" t="s">
        <v>15143</v>
      </c>
      <c r="J83" s="297" t="s">
        <v>12852</v>
      </c>
      <c r="K83" s="224"/>
      <c r="L83" s="224"/>
      <c r="M83" s="224"/>
      <c r="N83" s="224"/>
      <c r="O83" s="224"/>
      <c r="P83" s="185"/>
      <c r="Q83" s="225"/>
      <c r="R83" s="182" t="str">
        <f ca="1">IF(ISERROR($V83),"",OFFSET('Smelter Look-up'!$C$4,$V83-4,0)&amp;"")</f>
        <v>PT Sariwiguna Binasentosa</v>
      </c>
      <c r="S83" s="181" t="str">
        <f t="shared" ca="1" si="12"/>
        <v>ID</v>
      </c>
      <c r="T83" s="181" t="str">
        <f ca="1">IF(B83="","",IF(ISERROR(MATCH($J83,SorP!$B$1:$B$6279,0)),"",INDIRECT("'SorP'!$A$"&amp;MATCH($S83&amp;$J83,SorP!C:C,0))))</f>
        <v>ID-BB</v>
      </c>
      <c r="U83" s="201"/>
      <c r="V83" s="226">
        <f>IF(C83="",NA(),IF(OR(C83="Smelter not listed",C83="Smelter not yet identified"),MATCH($B83&amp;$D83,'Smelter Look-up'!$J:$J,0),MATCH($B83&amp;$C83,'Smelter Look-up'!$J:$J,0)))</f>
        <v>508</v>
      </c>
      <c r="X83" s="227">
        <f t="shared" si="13"/>
        <v>0</v>
      </c>
      <c r="AB83" s="228" t="str">
        <f t="shared" si="14"/>
        <v>TinPT Sariwiguna Binasentosa</v>
      </c>
    </row>
    <row r="84" spans="1:28" s="227" customFormat="1" ht="25.5">
      <c r="A84" s="298" t="s">
        <v>15116</v>
      </c>
      <c r="B84" s="293" t="s">
        <v>1126</v>
      </c>
      <c r="C84" s="294" t="s">
        <v>15115</v>
      </c>
      <c r="D84" s="295"/>
      <c r="E84" s="293" t="s">
        <v>15820</v>
      </c>
      <c r="F84" s="293" t="s">
        <v>15116</v>
      </c>
      <c r="G84" s="293" t="s">
        <v>13240</v>
      </c>
      <c r="H84" s="296"/>
      <c r="I84" s="297" t="s">
        <v>15143</v>
      </c>
      <c r="J84" s="297" t="s">
        <v>12852</v>
      </c>
      <c r="K84" s="224"/>
      <c r="L84" s="224"/>
      <c r="M84" s="224"/>
      <c r="N84" s="224"/>
      <c r="O84" s="224"/>
      <c r="P84" s="185"/>
      <c r="Q84" s="225"/>
      <c r="R84" s="182" t="str">
        <f ca="1">IF(ISERROR($V84),"",OFFSET('Smelter Look-up'!$C$4,$V84-4,0)&amp;"")</f>
        <v>PT Stanindo Inti Perkasa</v>
      </c>
      <c r="S84" s="181" t="str">
        <f t="shared" ca="1" si="12"/>
        <v>ID</v>
      </c>
      <c r="T84" s="181" t="str">
        <f ca="1">IF(B84="","",IF(ISERROR(MATCH($J84,SorP!$B$1:$B$6279,0)),"",INDIRECT("'SorP'!$A$"&amp;MATCH($S84&amp;$J84,SorP!C:C,0))))</f>
        <v>ID-BB</v>
      </c>
      <c r="U84" s="201"/>
      <c r="V84" s="226">
        <f>IF(C84="",NA(),IF(OR(C84="Smelter not listed",C84="Smelter not yet identified"),MATCH($B84&amp;$D84,'Smelter Look-up'!$J:$J,0),MATCH($B84&amp;$C84,'Smelter Look-up'!$J:$J,0)))</f>
        <v>509</v>
      </c>
      <c r="X84" s="227">
        <f t="shared" si="13"/>
        <v>0</v>
      </c>
      <c r="AB84" s="228" t="str">
        <f t="shared" si="14"/>
        <v>TinPT Stanindo Inti Perkasa</v>
      </c>
    </row>
    <row r="85" spans="1:28" s="227" customFormat="1" ht="20.25">
      <c r="A85" s="298" t="s">
        <v>800</v>
      </c>
      <c r="B85" s="293" t="s">
        <v>1126</v>
      </c>
      <c r="C85" s="294" t="s">
        <v>13802</v>
      </c>
      <c r="D85" s="295"/>
      <c r="E85" s="293" t="s">
        <v>15820</v>
      </c>
      <c r="F85" s="293" t="s">
        <v>800</v>
      </c>
      <c r="G85" s="293" t="s">
        <v>13240</v>
      </c>
      <c r="H85" s="296"/>
      <c r="I85" s="297" t="s">
        <v>1792</v>
      </c>
      <c r="J85" s="297" t="s">
        <v>6065</v>
      </c>
      <c r="K85" s="224"/>
      <c r="L85" s="224"/>
      <c r="M85" s="224"/>
      <c r="N85" s="224"/>
      <c r="O85" s="224"/>
      <c r="P85" s="185"/>
      <c r="Q85" s="225"/>
      <c r="R85" s="182" t="str">
        <f ca="1">IF(ISERROR($V85),"",OFFSET('Smelter Look-up'!$C$4,$V85-4,0)&amp;"")</f>
        <v>PT Timah Tbk Kundur</v>
      </c>
      <c r="S85" s="181" t="str">
        <f t="shared" ca="1" si="12"/>
        <v>ID</v>
      </c>
      <c r="T85" s="181" t="str">
        <f ca="1">IF(B85="","",IF(ISERROR(MATCH($J85,SorP!$B$1:$B$6279,0)),"",INDIRECT("'SorP'!$A$"&amp;MATCH($S85&amp;$J85,SorP!C:C,0))))</f>
        <v>ID-RI</v>
      </c>
      <c r="U85" s="201"/>
      <c r="V85" s="226">
        <f>IF(C85="",NA(),IF(OR(C85="Smelter not listed",C85="Smelter not yet identified"),MATCH($B85&amp;$D85,'Smelter Look-up'!$J:$J,0),MATCH($B85&amp;$C85,'Smelter Look-up'!$J:$J,0)))</f>
        <v>513</v>
      </c>
      <c r="X85" s="227">
        <f t="shared" si="13"/>
        <v>0</v>
      </c>
      <c r="AB85" s="228" t="str">
        <f t="shared" si="14"/>
        <v>TinPT Timah Tbk Kundur</v>
      </c>
    </row>
    <row r="86" spans="1:28" s="227" customFormat="1" ht="25.5">
      <c r="A86" s="298" t="s">
        <v>781</v>
      </c>
      <c r="B86" s="293" t="s">
        <v>1126</v>
      </c>
      <c r="C86" s="294" t="s">
        <v>13801</v>
      </c>
      <c r="D86" s="295"/>
      <c r="E86" s="293" t="s">
        <v>15820</v>
      </c>
      <c r="F86" s="293" t="s">
        <v>781</v>
      </c>
      <c r="G86" s="293" t="s">
        <v>13240</v>
      </c>
      <c r="H86" s="296"/>
      <c r="I86" s="297" t="s">
        <v>1794</v>
      </c>
      <c r="J86" s="297" t="s">
        <v>12852</v>
      </c>
      <c r="K86" s="224"/>
      <c r="L86" s="224"/>
      <c r="M86" s="224"/>
      <c r="N86" s="224"/>
      <c r="O86" s="224"/>
      <c r="P86" s="185"/>
      <c r="Q86" s="225"/>
      <c r="R86" s="182" t="str">
        <f ca="1">IF(ISERROR($V86),"",OFFSET('Smelter Look-up'!$C$4,$V86-4,0)&amp;"")</f>
        <v>PT Timah Tbk Mentok</v>
      </c>
      <c r="S86" s="181" t="str">
        <f t="shared" ca="1" si="12"/>
        <v>ID</v>
      </c>
      <c r="T86" s="181" t="str">
        <f ca="1">IF(B86="","",IF(ISERROR(MATCH($J86,SorP!$B$1:$B$6279,0)),"",INDIRECT("'SorP'!$A$"&amp;MATCH($S86&amp;$J86,SorP!C:C,0))))</f>
        <v>ID-BB</v>
      </c>
      <c r="U86" s="201"/>
      <c r="V86" s="226">
        <f>IF(C86="",NA(),IF(OR(C86="Smelter not listed",C86="Smelter not yet identified"),MATCH($B86&amp;$D86,'Smelter Look-up'!$J:$J,0),MATCH($B86&amp;$C86,'Smelter Look-up'!$J:$J,0)))</f>
        <v>514</v>
      </c>
      <c r="X86" s="227">
        <f t="shared" si="13"/>
        <v>0</v>
      </c>
      <c r="AB86" s="228" t="str">
        <f t="shared" si="14"/>
        <v>TinPT Timah Tbk Mentok</v>
      </c>
    </row>
    <row r="87" spans="1:28" s="227" customFormat="1" ht="25.5">
      <c r="A87" s="298" t="s">
        <v>15118</v>
      </c>
      <c r="B87" s="293" t="s">
        <v>1126</v>
      </c>
      <c r="C87" s="294" t="s">
        <v>15117</v>
      </c>
      <c r="D87" s="295"/>
      <c r="E87" s="293" t="s">
        <v>15820</v>
      </c>
      <c r="F87" s="293" t="s">
        <v>15118</v>
      </c>
      <c r="G87" s="293" t="s">
        <v>13240</v>
      </c>
      <c r="H87" s="296"/>
      <c r="I87" s="297" t="s">
        <v>15150</v>
      </c>
      <c r="J87" s="297" t="s">
        <v>12852</v>
      </c>
      <c r="K87" s="224"/>
      <c r="L87" s="224"/>
      <c r="M87" s="224"/>
      <c r="N87" s="224"/>
      <c r="O87" s="224"/>
      <c r="P87" s="185"/>
      <c r="Q87" s="225"/>
      <c r="R87" s="182" t="str">
        <f ca="1">IF(ISERROR($V87),"",OFFSET('Smelter Look-up'!$C$4,$V87-4,0)&amp;"")</f>
        <v>PT Timah Nusantara</v>
      </c>
      <c r="S87" s="181" t="str">
        <f t="shared" ca="1" si="12"/>
        <v>ID</v>
      </c>
      <c r="T87" s="181" t="str">
        <f ca="1">IF(B87="","",IF(ISERROR(MATCH($J87,SorP!$B$1:$B$6279,0)),"",INDIRECT("'SorP'!$A$"&amp;MATCH($S87&amp;$J87,SorP!C:C,0))))</f>
        <v>ID-BB</v>
      </c>
      <c r="U87" s="201"/>
      <c r="V87" s="226">
        <f>IF(C87="",NA(),IF(OR(C87="Smelter not listed",C87="Smelter not yet identified"),MATCH($B87&amp;$D87,'Smelter Look-up'!$J:$J,0),MATCH($B87&amp;$C87,'Smelter Look-up'!$J:$J,0)))</f>
        <v>512</v>
      </c>
      <c r="X87" s="227">
        <f t="shared" si="13"/>
        <v>0</v>
      </c>
      <c r="AB87" s="228" t="str">
        <f t="shared" si="14"/>
        <v>TinPT Timah Nusantara</v>
      </c>
    </row>
    <row r="88" spans="1:28" s="227" customFormat="1" ht="25.5">
      <c r="A88" s="298" t="s">
        <v>15120</v>
      </c>
      <c r="B88" s="293" t="s">
        <v>1126</v>
      </c>
      <c r="C88" s="294" t="s">
        <v>15119</v>
      </c>
      <c r="D88" s="295"/>
      <c r="E88" s="293" t="s">
        <v>15820</v>
      </c>
      <c r="F88" s="293" t="s">
        <v>15120</v>
      </c>
      <c r="G88" s="293" t="s">
        <v>13240</v>
      </c>
      <c r="H88" s="296"/>
      <c r="I88" s="297" t="s">
        <v>15143</v>
      </c>
      <c r="J88" s="297" t="s">
        <v>12852</v>
      </c>
      <c r="K88" s="224"/>
      <c r="L88" s="224"/>
      <c r="M88" s="224"/>
      <c r="N88" s="224"/>
      <c r="O88" s="224"/>
      <c r="P88" s="185"/>
      <c r="Q88" s="225"/>
      <c r="R88" s="182" t="str">
        <f ca="1">IF(ISERROR($V88),"",OFFSET('Smelter Look-up'!$C$4,$V88-4,0)&amp;"")</f>
        <v>PT Tinindo Inter Nusa</v>
      </c>
      <c r="S88" s="181" t="str">
        <f t="shared" ca="1" si="12"/>
        <v>ID</v>
      </c>
      <c r="T88" s="181" t="str">
        <f ca="1">IF(B88="","",IF(ISERROR(MATCH($J88,SorP!$B$1:$B$6279,0)),"",INDIRECT("'SorP'!$A$"&amp;MATCH($S88&amp;$J88,SorP!C:C,0))))</f>
        <v>ID-BB</v>
      </c>
      <c r="U88" s="201"/>
      <c r="V88" s="226">
        <f>IF(C88="",NA(),IF(OR(C88="Smelter not listed",C88="Smelter not yet identified"),MATCH($B88&amp;$D88,'Smelter Look-up'!$J:$J,0),MATCH($B88&amp;$C88,'Smelter Look-up'!$J:$J,0)))</f>
        <v>515</v>
      </c>
      <c r="X88" s="227">
        <f t="shared" si="13"/>
        <v>0</v>
      </c>
      <c r="AB88" s="228" t="str">
        <f t="shared" si="14"/>
        <v>TinPT Tinindo Inter Nusa</v>
      </c>
    </row>
    <row r="89" spans="1:28" s="227" customFormat="1" ht="25.5">
      <c r="A89" s="298" t="s">
        <v>15500</v>
      </c>
      <c r="B89" s="293" t="s">
        <v>1126</v>
      </c>
      <c r="C89" s="294" t="s">
        <v>15499</v>
      </c>
      <c r="D89" s="295"/>
      <c r="E89" s="293" t="s">
        <v>15820</v>
      </c>
      <c r="F89" s="293" t="s">
        <v>15500</v>
      </c>
      <c r="G89" s="293" t="s">
        <v>13240</v>
      </c>
      <c r="H89" s="296"/>
      <c r="I89" s="297" t="s">
        <v>15501</v>
      </c>
      <c r="J89" s="297" t="s">
        <v>12852</v>
      </c>
      <c r="K89" s="224"/>
      <c r="L89" s="224"/>
      <c r="M89" s="224"/>
      <c r="N89" s="224"/>
      <c r="O89" s="224"/>
      <c r="P89" s="185"/>
      <c r="Q89" s="225"/>
      <c r="R89" s="182" t="str">
        <f ca="1">IF(ISERROR($V89),"",OFFSET('Smelter Look-up'!$C$4,$V89-4,0)&amp;"")</f>
        <v>PT Tommy Utama</v>
      </c>
      <c r="S89" s="181" t="str">
        <f t="shared" ca="1" si="12"/>
        <v>ID</v>
      </c>
      <c r="T89" s="181" t="str">
        <f ca="1">IF(B89="","",IF(ISERROR(MATCH($J89,SorP!$B$1:$B$6279,0)),"",INDIRECT("'SorP'!$A$"&amp;MATCH($S89&amp;$J89,SorP!C:C,0))))</f>
        <v>ID-BB</v>
      </c>
      <c r="U89" s="201"/>
      <c r="V89" s="226">
        <f>IF(C89="",NA(),IF(OR(C89="Smelter not listed",C89="Smelter not yet identified"),MATCH($B89&amp;$D89,'Smelter Look-up'!$J:$J,0),MATCH($B89&amp;$C89,'Smelter Look-up'!$J:$J,0)))</f>
        <v>517</v>
      </c>
      <c r="X89" s="227">
        <f t="shared" si="13"/>
        <v>0</v>
      </c>
      <c r="AB89" s="228" t="str">
        <f t="shared" si="14"/>
        <v>TinPT Tommy Utama</v>
      </c>
    </row>
    <row r="90" spans="1:28" s="227" customFormat="1" ht="20.25">
      <c r="A90" s="298" t="s">
        <v>720</v>
      </c>
      <c r="B90" s="293" t="s">
        <v>1125</v>
      </c>
      <c r="C90" s="294" t="s">
        <v>12432</v>
      </c>
      <c r="D90" s="295"/>
      <c r="E90" s="293" t="s">
        <v>15812</v>
      </c>
      <c r="F90" s="293" t="s">
        <v>720</v>
      </c>
      <c r="G90" s="293" t="s">
        <v>13240</v>
      </c>
      <c r="H90" s="296"/>
      <c r="I90" s="297" t="s">
        <v>1642</v>
      </c>
      <c r="J90" s="297" t="s">
        <v>1623</v>
      </c>
      <c r="K90" s="224"/>
      <c r="L90" s="224"/>
      <c r="M90" s="224"/>
      <c r="N90" s="224"/>
      <c r="O90" s="224"/>
      <c r="P90" s="185"/>
      <c r="Q90" s="225"/>
      <c r="R90" s="182" t="str">
        <f ca="1">IF(ISERROR($V90),"",OFFSET('Smelter Look-up'!$C$4,$V90-4,0)&amp;"")</f>
        <v>PX Precinox S.A.</v>
      </c>
      <c r="S90" s="181" t="str">
        <f t="shared" ca="1" si="12"/>
        <v>CH</v>
      </c>
      <c r="T90" s="181" t="str">
        <f ca="1">IF(B90="","",IF(ISERROR(MATCH($J90,SorP!$B$1:$B$6279,0)),"",INDIRECT("'SorP'!$A$"&amp;MATCH($S90&amp;$J90,SorP!C:C,0))))</f>
        <v>CH-NE</v>
      </c>
      <c r="U90" s="201"/>
      <c r="V90" s="226">
        <f>IF(C90="",NA(),IF(OR(C90="Smelter not listed",C90="Smelter not yet identified"),MATCH($B90&amp;$D90,'Smelter Look-up'!$J:$J,0),MATCH($B90&amp;$C90,'Smelter Look-up'!$J:$J,0)))</f>
        <v>212</v>
      </c>
      <c r="X90" s="227">
        <f t="shared" si="13"/>
        <v>0</v>
      </c>
      <c r="AB90" s="228" t="str">
        <f t="shared" si="14"/>
        <v>GoldPX Precinox S.A.</v>
      </c>
    </row>
    <row r="91" spans="1:28" s="227" customFormat="1" ht="25.5">
      <c r="A91" s="298" t="s">
        <v>757</v>
      </c>
      <c r="B91" s="293" t="s">
        <v>1127</v>
      </c>
      <c r="C91" s="294" t="s">
        <v>813</v>
      </c>
      <c r="D91" s="295"/>
      <c r="E91" s="293" t="s">
        <v>15814</v>
      </c>
      <c r="F91" s="293" t="s">
        <v>757</v>
      </c>
      <c r="G91" s="293" t="s">
        <v>13240</v>
      </c>
      <c r="H91" s="296"/>
      <c r="I91" s="297" t="s">
        <v>13826</v>
      </c>
      <c r="J91" s="297" t="s">
        <v>2263</v>
      </c>
      <c r="K91" s="224"/>
      <c r="L91" s="224"/>
      <c r="M91" s="224"/>
      <c r="N91" s="224"/>
      <c r="O91" s="224"/>
      <c r="P91" s="185"/>
      <c r="Q91" s="225"/>
      <c r="R91" s="182" t="str">
        <f ca="1">IF(ISERROR($V91),"",OFFSET('Smelter Look-up'!$C$4,$V91-4,0)&amp;"")</f>
        <v>QuantumClean</v>
      </c>
      <c r="S91" s="181" t="str">
        <f t="shared" ca="1" si="12"/>
        <v>US</v>
      </c>
      <c r="T91" s="181" t="str">
        <f ca="1">IF(B91="","",IF(ISERROR(MATCH($J91,SorP!$B$1:$B$6279,0)),"",INDIRECT("'SorP'!$A$"&amp;MATCH($S91&amp;$J91,SorP!C:C,0))))</f>
        <v>US-TX</v>
      </c>
      <c r="U91" s="201"/>
      <c r="V91" s="226">
        <f>IF(C91="",NA(),IF(OR(C91="Smelter not listed",C91="Smelter not yet identified"),MATCH($B91&amp;$D91,'Smelter Look-up'!$J:$J,0),MATCH($B91&amp;$C91,'Smelter Look-up'!$J:$J,0)))</f>
        <v>361</v>
      </c>
      <c r="X91" s="227">
        <f t="shared" si="13"/>
        <v>0</v>
      </c>
      <c r="AB91" s="228" t="str">
        <f t="shared" si="14"/>
        <v>TantalumQuantumClean</v>
      </c>
    </row>
    <row r="92" spans="1:28" s="227" customFormat="1" ht="20.25">
      <c r="A92" s="298" t="s">
        <v>721</v>
      </c>
      <c r="B92" s="293" t="s">
        <v>1125</v>
      </c>
      <c r="C92" s="294" t="s">
        <v>2158</v>
      </c>
      <c r="D92" s="295"/>
      <c r="E92" s="293" t="s">
        <v>15832</v>
      </c>
      <c r="F92" s="293" t="s">
        <v>721</v>
      </c>
      <c r="G92" s="293" t="s">
        <v>13240</v>
      </c>
      <c r="H92" s="296"/>
      <c r="I92" s="297" t="s">
        <v>1643</v>
      </c>
      <c r="J92" s="297" t="s">
        <v>1644</v>
      </c>
      <c r="K92" s="224"/>
      <c r="L92" s="224"/>
      <c r="M92" s="224"/>
      <c r="N92" s="224"/>
      <c r="O92" s="224"/>
      <c r="P92" s="185"/>
      <c r="Q92" s="225"/>
      <c r="R92" s="182" t="str">
        <f ca="1">IF(ISERROR($V92),"",OFFSET('Smelter Look-up'!$C$4,$V92-4,0)&amp;"")</f>
        <v>Rand Refinery (Pty) Ltd.</v>
      </c>
      <c r="S92" s="181" t="str">
        <f t="shared" ca="1" si="12"/>
        <v>ZA</v>
      </c>
      <c r="T92" s="181" t="str">
        <f ca="1">IF(B92="","",IF(ISERROR(MATCH($J92,SorP!$B$1:$B$6279,0)),"",INDIRECT("'SorP'!$A$"&amp;MATCH($S92&amp;$J92,SorP!C:C,0))))</f>
        <v>ZA-GP</v>
      </c>
      <c r="U92" s="201"/>
      <c r="V92" s="226">
        <f>IF(C92="",NA(),IF(OR(C92="Smelter not listed",C92="Smelter not yet identified"),MATCH($B92&amp;$D92,'Smelter Look-up'!$J:$J,0),MATCH($B92&amp;$C92,'Smelter Look-up'!$J:$J,0)))</f>
        <v>215</v>
      </c>
      <c r="X92" s="227">
        <f t="shared" si="13"/>
        <v>0</v>
      </c>
      <c r="AB92" s="228" t="str">
        <f t="shared" si="14"/>
        <v>GoldRand Refinery (Pty) Ltd.</v>
      </c>
    </row>
    <row r="93" spans="1:28" s="227" customFormat="1" ht="20.25">
      <c r="A93" s="298" t="s">
        <v>758</v>
      </c>
      <c r="B93" s="293" t="s">
        <v>1127</v>
      </c>
      <c r="C93" s="294" t="s">
        <v>13275</v>
      </c>
      <c r="D93" s="295"/>
      <c r="E93" s="293" t="s">
        <v>15818</v>
      </c>
      <c r="F93" s="293" t="s">
        <v>758</v>
      </c>
      <c r="G93" s="293" t="s">
        <v>13240</v>
      </c>
      <c r="H93" s="296"/>
      <c r="I93" s="297" t="s">
        <v>1732</v>
      </c>
      <c r="J93" s="297" t="s">
        <v>13623</v>
      </c>
      <c r="K93" s="224"/>
      <c r="L93" s="224"/>
      <c r="M93" s="224"/>
      <c r="N93" s="224"/>
      <c r="O93" s="224"/>
      <c r="P93" s="185"/>
      <c r="Q93" s="225"/>
      <c r="R93" s="182" t="str">
        <f ca="1">IF(ISERROR($V93),"",OFFSET('Smelter Look-up'!$C$4,$V93-4,0)&amp;"")</f>
        <v>Yanling Jincheng Tantalum &amp; Niobium Co., Ltd.</v>
      </c>
      <c r="S93" s="181" t="str">
        <f t="shared" ca="1" si="12"/>
        <v>CN</v>
      </c>
      <c r="T93" s="181" t="str">
        <f ca="1">IF(B93="","",IF(ISERROR(MATCH($J93,SorP!$B$1:$B$6279,0)),"",INDIRECT("'SorP'!$A$"&amp;MATCH($S93&amp;$J93,SorP!C:C,0))))</f>
        <v>CN-HN</v>
      </c>
      <c r="U93" s="201"/>
      <c r="V93" s="226">
        <f>IF(C93="",NA(),IF(OR(C93="Smelter not listed",C93="Smelter not yet identified"),MATCH($B93&amp;$D93,'Smelter Look-up'!$J:$J,0),MATCH($B93&amp;$C93,'Smelter Look-up'!$J:$J,0)))</f>
        <v>383</v>
      </c>
      <c r="X93" s="227">
        <f t="shared" si="13"/>
        <v>0</v>
      </c>
      <c r="AB93" s="228" t="str">
        <f t="shared" si="14"/>
        <v>TantalumYanling Jincheng Tantalum &amp; Niobium Co., Ltd.</v>
      </c>
    </row>
    <row r="94" spans="1:28" s="227" customFormat="1" ht="20.25">
      <c r="A94" s="298" t="s">
        <v>722</v>
      </c>
      <c r="B94" s="293" t="s">
        <v>1125</v>
      </c>
      <c r="C94" s="294" t="s">
        <v>909</v>
      </c>
      <c r="D94" s="295"/>
      <c r="E94" s="293" t="s">
        <v>15817</v>
      </c>
      <c r="F94" s="293" t="s">
        <v>722</v>
      </c>
      <c r="G94" s="293" t="s">
        <v>13240</v>
      </c>
      <c r="H94" s="296"/>
      <c r="I94" s="297" t="s">
        <v>1645</v>
      </c>
      <c r="J94" s="297" t="s">
        <v>1603</v>
      </c>
      <c r="K94" s="224"/>
      <c r="L94" s="224"/>
      <c r="M94" s="224"/>
      <c r="N94" s="224"/>
      <c r="O94" s="224"/>
      <c r="P94" s="185"/>
      <c r="Q94" s="225"/>
      <c r="R94" s="182" t="str">
        <f ca="1">IF(ISERROR($V94),"",OFFSET('Smelter Look-up'!$C$4,$V94-4,0)&amp;"")</f>
        <v>Royal Canadian Mint</v>
      </c>
      <c r="S94" s="181" t="str">
        <f t="shared" ca="1" si="12"/>
        <v>CA</v>
      </c>
      <c r="T94" s="181" t="str">
        <f ca="1">IF(B94="","",IF(ISERROR(MATCH($J94,SorP!$B$1:$B$6279,0)),"",INDIRECT("'SorP'!$A$"&amp;MATCH($S94&amp;$J94,SorP!C:C,0))))</f>
        <v>CA-ON</v>
      </c>
      <c r="U94" s="201"/>
      <c r="V94" s="226">
        <f>IF(C94="",NA(),IF(OR(C94="Smelter not listed",C94="Smelter not yet identified"),MATCH($B94&amp;$D94,'Smelter Look-up'!$J:$J,0),MATCH($B94&amp;$C94,'Smelter Look-up'!$J:$J,0)))</f>
        <v>220</v>
      </c>
      <c r="X94" s="227">
        <f t="shared" si="13"/>
        <v>0</v>
      </c>
      <c r="AB94" s="228" t="str">
        <f t="shared" si="14"/>
        <v>GoldRoyal Canadian Mint</v>
      </c>
    </row>
    <row r="95" spans="1:28" s="227" customFormat="1" ht="25.5">
      <c r="A95" s="298" t="s">
        <v>783</v>
      </c>
      <c r="B95" s="293" t="s">
        <v>1126</v>
      </c>
      <c r="C95" s="294" t="s">
        <v>782</v>
      </c>
      <c r="D95" s="295"/>
      <c r="E95" s="293" t="s">
        <v>15833</v>
      </c>
      <c r="F95" s="293" t="s">
        <v>783</v>
      </c>
      <c r="G95" s="293" t="s">
        <v>13240</v>
      </c>
      <c r="H95" s="296"/>
      <c r="I95" s="297" t="s">
        <v>13829</v>
      </c>
      <c r="J95" s="297" t="s">
        <v>1701</v>
      </c>
      <c r="K95" s="224"/>
      <c r="L95" s="224"/>
      <c r="M95" s="224"/>
      <c r="N95" s="224"/>
      <c r="O95" s="224"/>
      <c r="P95" s="185"/>
      <c r="Q95" s="225"/>
      <c r="R95" s="182" t="str">
        <f ca="1">IF(ISERROR($V95),"",OFFSET('Smelter Look-up'!$C$4,$V95-4,0)&amp;"")</f>
        <v>Rui Da Hung</v>
      </c>
      <c r="S95" s="181" t="str">
        <f t="shared" ca="1" si="12"/>
        <v>TW</v>
      </c>
      <c r="T95" s="181" t="str">
        <f ca="1">IF(B95="","",IF(ISERROR(MATCH($J95,SorP!$B$1:$B$6279,0)),"",INDIRECT("'SorP'!$A$"&amp;MATCH($S95&amp;$J95,SorP!C:C,0))))</f>
        <v>TW-TAO</v>
      </c>
      <c r="U95" s="201"/>
      <c r="V95" s="226">
        <f>IF(C95="",NA(),IF(OR(C95="Smelter not listed",C95="Smelter not yet identified"),MATCH($B95&amp;$D95,'Smelter Look-up'!$J:$J,0),MATCH($B95&amp;$C95,'Smelter Look-up'!$J:$J,0)))</f>
        <v>521</v>
      </c>
      <c r="X95" s="227">
        <f t="shared" si="13"/>
        <v>0</v>
      </c>
      <c r="AB95" s="228" t="str">
        <f t="shared" si="14"/>
        <v>TinRui Da Hung</v>
      </c>
    </row>
    <row r="96" spans="1:28" s="227" customFormat="1" ht="25.5">
      <c r="A96" s="298" t="s">
        <v>725</v>
      </c>
      <c r="B96" s="293" t="s">
        <v>1125</v>
      </c>
      <c r="C96" s="294" t="s">
        <v>12433</v>
      </c>
      <c r="D96" s="295"/>
      <c r="E96" s="293" t="s">
        <v>15834</v>
      </c>
      <c r="F96" s="293" t="s">
        <v>725</v>
      </c>
      <c r="G96" s="293" t="s">
        <v>13240</v>
      </c>
      <c r="H96" s="296"/>
      <c r="I96" s="297" t="s">
        <v>1651</v>
      </c>
      <c r="J96" s="297" t="s">
        <v>4670</v>
      </c>
      <c r="K96" s="224"/>
      <c r="L96" s="224"/>
      <c r="M96" s="224"/>
      <c r="N96" s="224"/>
      <c r="O96" s="224"/>
      <c r="P96" s="185"/>
      <c r="Q96" s="225"/>
      <c r="R96" s="182" t="str">
        <f ca="1">IF(ISERROR($V96),"",OFFSET('Smelter Look-up'!$C$4,$V96-4,0)&amp;"")</f>
        <v>SEMPSA Joyeria Plateria S.A.</v>
      </c>
      <c r="S96" s="181" t="str">
        <f t="shared" ca="1" si="12"/>
        <v>ES</v>
      </c>
      <c r="T96" s="181" t="str">
        <f ca="1">IF(B96="","",IF(ISERROR(MATCH($J96,SorP!$B$1:$B$6279,0)),"",INDIRECT("'SorP'!$A$"&amp;MATCH($S96&amp;$J96,SorP!C:C,0))))</f>
        <v>ES-MD</v>
      </c>
      <c r="U96" s="201"/>
      <c r="V96" s="226">
        <f>IF(C96="",NA(),IF(OR(C96="Smelter not listed",C96="Smelter not yet identified"),MATCH($B96&amp;$D96,'Smelter Look-up'!$J:$J,0),MATCH($B96&amp;$C96,'Smelter Look-up'!$J:$J,0)))</f>
        <v>234</v>
      </c>
      <c r="X96" s="227">
        <f t="shared" si="13"/>
        <v>0</v>
      </c>
      <c r="AB96" s="228" t="str">
        <f t="shared" si="14"/>
        <v>GoldSEMPSA Joyeria Plateria S.A.</v>
      </c>
    </row>
    <row r="97" spans="1:28" s="227" customFormat="1" ht="25.5">
      <c r="A97" s="298" t="s">
        <v>726</v>
      </c>
      <c r="B97" s="293" t="s">
        <v>1125</v>
      </c>
      <c r="C97" s="294" t="s">
        <v>2160</v>
      </c>
      <c r="D97" s="295"/>
      <c r="E97" s="293" t="s">
        <v>15818</v>
      </c>
      <c r="F97" s="293" t="s">
        <v>726</v>
      </c>
      <c r="G97" s="293" t="s">
        <v>13240</v>
      </c>
      <c r="H97" s="296"/>
      <c r="I97" s="297" t="s">
        <v>1585</v>
      </c>
      <c r="J97" s="297" t="s">
        <v>13620</v>
      </c>
      <c r="K97" s="224"/>
      <c r="L97" s="224"/>
      <c r="M97" s="224"/>
      <c r="N97" s="224"/>
      <c r="O97" s="224"/>
      <c r="P97" s="185"/>
      <c r="Q97" s="225"/>
      <c r="R97" s="182" t="str">
        <f ca="1">IF(ISERROR($V97),"",OFFSET('Smelter Look-up'!$C$4,$V97-4,0)&amp;"")</f>
        <v>Shandong Zhaojin Gold &amp; Silver Refinery Co., Ltd.</v>
      </c>
      <c r="S97" s="181" t="str">
        <f t="shared" ca="1" si="12"/>
        <v>CN</v>
      </c>
      <c r="T97" s="181" t="str">
        <f ca="1">IF(B97="","",IF(ISERROR(MATCH($J97,SorP!$B$1:$B$6279,0)),"",INDIRECT("'SorP'!$A$"&amp;MATCH($S97&amp;$J97,SorP!C:C,0))))</f>
        <v>CN-SD</v>
      </c>
      <c r="U97" s="201"/>
      <c r="V97" s="226">
        <f>IF(C97="",NA(),IF(OR(C97="Smelter not listed",C97="Smelter not yet identified"),MATCH($B97&amp;$D97,'Smelter Look-up'!$J:$J,0),MATCH($B97&amp;$C97,'Smelter Look-up'!$J:$J,0)))</f>
        <v>246</v>
      </c>
      <c r="X97" s="227">
        <f t="shared" si="13"/>
        <v>0</v>
      </c>
      <c r="AB97" s="228" t="str">
        <f t="shared" si="14"/>
        <v>GoldShandong Zhaojin Gold &amp; Silver Refinery Co., Ltd.</v>
      </c>
    </row>
    <row r="98" spans="1:28" s="227" customFormat="1" ht="20.25">
      <c r="A98" s="298" t="s">
        <v>1387</v>
      </c>
      <c r="B98" s="293" t="s">
        <v>1125</v>
      </c>
      <c r="C98" s="294" t="s">
        <v>2161</v>
      </c>
      <c r="D98" s="295"/>
      <c r="E98" s="293" t="s">
        <v>15818</v>
      </c>
      <c r="F98" s="293" t="s">
        <v>1387</v>
      </c>
      <c r="G98" s="293" t="s">
        <v>13240</v>
      </c>
      <c r="H98" s="296"/>
      <c r="I98" s="297" t="s">
        <v>1659</v>
      </c>
      <c r="J98" s="297" t="s">
        <v>13626</v>
      </c>
      <c r="K98" s="224"/>
      <c r="L98" s="224"/>
      <c r="M98" s="224"/>
      <c r="N98" s="224"/>
      <c r="O98" s="224"/>
      <c r="P98" s="185"/>
      <c r="Q98" s="225"/>
      <c r="R98" s="182" t="str">
        <f ca="1">IF(ISERROR($V98),"",OFFSET('Smelter Look-up'!$C$4,$V98-4,0)&amp;"")</f>
        <v>Sichuan Tianze Precious Metals Co., Ltd.</v>
      </c>
      <c r="S98" s="181" t="str">
        <f t="shared" ca="1" si="12"/>
        <v>CN</v>
      </c>
      <c r="T98" s="181" t="str">
        <f ca="1">IF(B98="","",IF(ISERROR(MATCH($J98,SorP!$B$1:$B$6279,0)),"",INDIRECT("'SorP'!$A$"&amp;MATCH($S98&amp;$J98,SorP!C:C,0))))</f>
        <v>CN-SC</v>
      </c>
      <c r="U98" s="201"/>
      <c r="V98" s="226">
        <f>IF(C98="",NA(),IF(OR(C98="Smelter not listed",C98="Smelter not yet identified"),MATCH($B98&amp;$D98,'Smelter Look-up'!$J:$J,0),MATCH($B98&amp;$C98,'Smelter Look-up'!$J:$J,0)))</f>
        <v>253</v>
      </c>
      <c r="X98" s="227">
        <f t="shared" si="13"/>
        <v>0</v>
      </c>
      <c r="AB98" s="228" t="str">
        <f t="shared" si="14"/>
        <v>GoldSichuan Tianze Precious Metals Co., Ltd.</v>
      </c>
    </row>
    <row r="99" spans="1:28" s="227" customFormat="1" ht="25.5">
      <c r="A99" s="298" t="s">
        <v>728</v>
      </c>
      <c r="B99" s="293" t="s">
        <v>1125</v>
      </c>
      <c r="C99" s="294" t="s">
        <v>911</v>
      </c>
      <c r="D99" s="295"/>
      <c r="E99" s="293" t="s">
        <v>15833</v>
      </c>
      <c r="F99" s="293" t="s">
        <v>728</v>
      </c>
      <c r="G99" s="293" t="s">
        <v>13240</v>
      </c>
      <c r="H99" s="296"/>
      <c r="I99" s="297" t="s">
        <v>1661</v>
      </c>
      <c r="J99" s="297" t="s">
        <v>11511</v>
      </c>
      <c r="K99" s="224"/>
      <c r="L99" s="224"/>
      <c r="M99" s="224"/>
      <c r="N99" s="224"/>
      <c r="O99" s="224"/>
      <c r="P99" s="185"/>
      <c r="Q99" s="225"/>
      <c r="R99" s="182" t="str">
        <f ca="1">IF(ISERROR($V99),"",OFFSET('Smelter Look-up'!$C$4,$V99-4,0)&amp;"")</f>
        <v>Solar Applied Materials Technology Corp.</v>
      </c>
      <c r="S99" s="181" t="str">
        <f t="shared" ca="1" si="12"/>
        <v>TW</v>
      </c>
      <c r="T99" s="181" t="str">
        <f ca="1">IF(B99="","",IF(ISERROR(MATCH($J99,SorP!$B$1:$B$6279,0)),"",INDIRECT("'SorP'!$A$"&amp;MATCH($S99&amp;$J99,SorP!C:C,0))))</f>
        <v>TW-TNN</v>
      </c>
      <c r="U99" s="201"/>
      <c r="V99" s="226">
        <f>IF(C99="",NA(),IF(OR(C99="Smelter not listed",C99="Smelter not yet identified"),MATCH($B99&amp;$D99,'Smelter Look-up'!$J:$J,0),MATCH($B99&amp;$C99,'Smelter Look-up'!$J:$J,0)))</f>
        <v>258</v>
      </c>
      <c r="X99" s="227">
        <f t="shared" si="13"/>
        <v>0</v>
      </c>
      <c r="AB99" s="228" t="str">
        <f t="shared" si="14"/>
        <v>GoldSolar Applied Materials Technology Corp.</v>
      </c>
    </row>
    <row r="100" spans="1:28" s="227" customFormat="1" ht="20.25">
      <c r="A100" s="298" t="s">
        <v>729</v>
      </c>
      <c r="B100" s="293" t="s">
        <v>1125</v>
      </c>
      <c r="C100" s="294" t="s">
        <v>58</v>
      </c>
      <c r="D100" s="295"/>
      <c r="E100" s="293" t="s">
        <v>15808</v>
      </c>
      <c r="F100" s="293" t="s">
        <v>729</v>
      </c>
      <c r="G100" s="293" t="s">
        <v>13240</v>
      </c>
      <c r="H100" s="296"/>
      <c r="I100" s="297" t="s">
        <v>1662</v>
      </c>
      <c r="J100" s="297" t="s">
        <v>2212</v>
      </c>
      <c r="K100" s="224"/>
      <c r="L100" s="224"/>
      <c r="M100" s="224"/>
      <c r="N100" s="224"/>
      <c r="O100" s="224"/>
      <c r="P100" s="185"/>
      <c r="Q100" s="225"/>
      <c r="R100" s="182" t="str">
        <f ca="1">IF(ISERROR($V100),"",OFFSET('Smelter Look-up'!$C$4,$V100-4,0)&amp;"")</f>
        <v>Sumitomo Metal Mining Co., Ltd.</v>
      </c>
      <c r="S100" s="181" t="str">
        <f t="shared" ca="1" si="12"/>
        <v>JP</v>
      </c>
      <c r="T100" s="181" t="str">
        <f ca="1">IF(B100="","",IF(ISERROR(MATCH($J100,SorP!$B$1:$B$6279,0)),"",INDIRECT("'SorP'!$A$"&amp;MATCH($S100&amp;$J100,SorP!C:C,0))))</f>
        <v>JP-38</v>
      </c>
      <c r="U100" s="201"/>
      <c r="V100" s="226">
        <f>IF(C100="",NA(),IF(OR(C100="Smelter not listed",C100="Smelter not yet identified"),MATCH($B100&amp;$D100,'Smelter Look-up'!$J:$J,0),MATCH($B100&amp;$C100,'Smelter Look-up'!$J:$J,0)))</f>
        <v>265</v>
      </c>
      <c r="X100" s="227">
        <f t="shared" si="13"/>
        <v>0</v>
      </c>
      <c r="AB100" s="228" t="str">
        <f t="shared" si="14"/>
        <v>GoldSumitomo Metal Mining Co., Ltd.</v>
      </c>
    </row>
    <row r="101" spans="1:28" s="227" customFormat="1" ht="20.25">
      <c r="A101" s="298" t="s">
        <v>760</v>
      </c>
      <c r="B101" s="293" t="s">
        <v>1127</v>
      </c>
      <c r="C101" s="294" t="s">
        <v>2445</v>
      </c>
      <c r="D101" s="295"/>
      <c r="E101" s="293" t="s">
        <v>15808</v>
      </c>
      <c r="F101" s="293" t="s">
        <v>760</v>
      </c>
      <c r="G101" s="293" t="s">
        <v>13240</v>
      </c>
      <c r="H101" s="296"/>
      <c r="I101" s="297" t="s">
        <v>1734</v>
      </c>
      <c r="J101" s="297" t="s">
        <v>1551</v>
      </c>
      <c r="K101" s="224"/>
      <c r="L101" s="224"/>
      <c r="M101" s="224"/>
      <c r="N101" s="224"/>
      <c r="O101" s="224"/>
      <c r="P101" s="185"/>
      <c r="Q101" s="225"/>
      <c r="R101" s="182" t="str">
        <f ca="1">IF(ISERROR($V101),"",OFFSET('Smelter Look-up'!$C$4,$V101-4,0)&amp;"")</f>
        <v>Taki Chemical Co., Ltd.</v>
      </c>
      <c r="S101" s="181" t="str">
        <f t="shared" ca="1" si="12"/>
        <v>JP</v>
      </c>
      <c r="T101" s="181" t="str">
        <f ca="1">IF(B101="","",IF(ISERROR(MATCH($J101,SorP!$B$1:$B$6279,0)),"",INDIRECT("'SorP'!$A$"&amp;MATCH($S101&amp;$J101,SorP!C:C,0))))</f>
        <v>JP-28</v>
      </c>
      <c r="U101" s="201"/>
      <c r="V101" s="226">
        <f>IF(C101="",NA(),IF(OR(C101="Smelter not listed",C101="Smelter not yet identified"),MATCH($B101&amp;$D101,'Smelter Look-up'!$J:$J,0),MATCH($B101&amp;$C101,'Smelter Look-up'!$J:$J,0)))</f>
        <v>371</v>
      </c>
      <c r="X101" s="227">
        <f t="shared" si="13"/>
        <v>0</v>
      </c>
      <c r="AB101" s="228" t="str">
        <f t="shared" si="14"/>
        <v>TantalumTaki Chemical Co., Ltd.</v>
      </c>
    </row>
    <row r="102" spans="1:28" s="227" customFormat="1" ht="20.25">
      <c r="A102" s="298" t="s">
        <v>730</v>
      </c>
      <c r="B102" s="293" t="s">
        <v>1125</v>
      </c>
      <c r="C102" s="294" t="s">
        <v>1228</v>
      </c>
      <c r="D102" s="295"/>
      <c r="E102" s="293" t="s">
        <v>15808</v>
      </c>
      <c r="F102" s="293" t="s">
        <v>730</v>
      </c>
      <c r="G102" s="293" t="s">
        <v>13240</v>
      </c>
      <c r="H102" s="296"/>
      <c r="I102" s="297" t="s">
        <v>1663</v>
      </c>
      <c r="J102" s="297" t="s">
        <v>1664</v>
      </c>
      <c r="K102" s="224"/>
      <c r="L102" s="224"/>
      <c r="M102" s="224"/>
      <c r="N102" s="224"/>
      <c r="O102" s="224"/>
      <c r="P102" s="185"/>
      <c r="Q102" s="225"/>
      <c r="R102" s="182" t="str">
        <f ca="1">IF(ISERROR($V102),"",OFFSET('Smelter Look-up'!$C$4,$V102-4,0)&amp;"")</f>
        <v>Tanaka Kikinzoku Kogyo K.K.</v>
      </c>
      <c r="S102" s="181" t="str">
        <f t="shared" ref="S102:S132" ca="1" si="15">IF(B102="","",IF(ISERROR(MATCH($E102,CL,0)),"Unknown",INDIRECT("'C'!$A$"&amp;MATCH($E102,CL,0)+1)))</f>
        <v>JP</v>
      </c>
      <c r="T102" s="181" t="str">
        <f ca="1">IF(B102="","",IF(ISERROR(MATCH($J102,SorP!$B$1:$B$6279,0)),"",INDIRECT("'SorP'!$A$"&amp;MATCH($S102&amp;$J102,SorP!C:C,0))))</f>
        <v>JP-14</v>
      </c>
      <c r="U102" s="201"/>
      <c r="V102" s="226">
        <f>IF(C102="",NA(),IF(OR(C102="Smelter not listed",C102="Smelter not yet identified"),MATCH($B102&amp;$D102,'Smelter Look-up'!$J:$J,0),MATCH($B102&amp;$C102,'Smelter Look-up'!$J:$J,0)))</f>
        <v>278</v>
      </c>
      <c r="X102" s="227">
        <f t="shared" ref="X102:X132" si="16">IF(AND(C102="Smelter not listed",OR(LEN(D102)=0,LEN(E102)=0)),1,0)</f>
        <v>0</v>
      </c>
      <c r="AB102" s="228" t="str">
        <f t="shared" ref="AB102:AB132" si="17">B102&amp;C102</f>
        <v>GoldTanaka Kikinzoku Kogyo K.K.</v>
      </c>
    </row>
    <row r="103" spans="1:28" s="227" customFormat="1" ht="25.5">
      <c r="A103" s="298" t="s">
        <v>761</v>
      </c>
      <c r="B103" s="293" t="s">
        <v>1127</v>
      </c>
      <c r="C103" s="294" t="s">
        <v>1735</v>
      </c>
      <c r="D103" s="295"/>
      <c r="E103" s="293" t="s">
        <v>15814</v>
      </c>
      <c r="F103" s="293" t="s">
        <v>761</v>
      </c>
      <c r="G103" s="293" t="s">
        <v>13240</v>
      </c>
      <c r="H103" s="296"/>
      <c r="I103" s="297" t="s">
        <v>1736</v>
      </c>
      <c r="J103" s="297" t="s">
        <v>1737</v>
      </c>
      <c r="K103" s="224"/>
      <c r="L103" s="224"/>
      <c r="M103" s="224"/>
      <c r="N103" s="224"/>
      <c r="O103" s="224"/>
      <c r="P103" s="185"/>
      <c r="Q103" s="225"/>
      <c r="R103" s="182" t="str">
        <f ca="1">IF(ISERROR($V103),"",OFFSET('Smelter Look-up'!$C$4,$V103-4,0)&amp;"")</f>
        <v>Telex Metals</v>
      </c>
      <c r="S103" s="181" t="str">
        <f t="shared" ca="1" si="15"/>
        <v>US</v>
      </c>
      <c r="T103" s="181" t="str">
        <f ca="1">IF(B103="","",IF(ISERROR(MATCH($J103,SorP!$B$1:$B$6279,0)),"",INDIRECT("'SorP'!$A$"&amp;MATCH($S103&amp;$J103,SorP!C:C,0))))</f>
        <v>US-PA</v>
      </c>
      <c r="U103" s="201"/>
      <c r="V103" s="226">
        <f>IF(C103="",NA(),IF(OR(C103="Smelter not listed",C103="Smelter not yet identified"),MATCH($B103&amp;$D103,'Smelter Look-up'!$J:$J,0),MATCH($B103&amp;$C103,'Smelter Look-up'!$J:$J,0)))</f>
        <v>377</v>
      </c>
      <c r="X103" s="227">
        <f t="shared" si="16"/>
        <v>0</v>
      </c>
      <c r="AB103" s="228" t="str">
        <f t="shared" si="17"/>
        <v>TantalumTelex Metals</v>
      </c>
    </row>
    <row r="104" spans="1:28" s="227" customFormat="1" ht="20.25">
      <c r="A104" s="298" t="s">
        <v>784</v>
      </c>
      <c r="B104" s="293" t="s">
        <v>1126</v>
      </c>
      <c r="C104" s="294" t="s">
        <v>1027</v>
      </c>
      <c r="D104" s="295"/>
      <c r="E104" s="293" t="s">
        <v>15831</v>
      </c>
      <c r="F104" s="293" t="s">
        <v>784</v>
      </c>
      <c r="G104" s="293" t="s">
        <v>13240</v>
      </c>
      <c r="H104" s="296"/>
      <c r="I104" s="297" t="s">
        <v>1795</v>
      </c>
      <c r="J104" s="297" t="s">
        <v>1796</v>
      </c>
      <c r="K104" s="224"/>
      <c r="L104" s="224"/>
      <c r="M104" s="224"/>
      <c r="N104" s="224"/>
      <c r="O104" s="224"/>
      <c r="P104" s="185"/>
      <c r="Q104" s="225"/>
      <c r="R104" s="182" t="str">
        <f ca="1">IF(ISERROR($V104),"",OFFSET('Smelter Look-up'!$C$4,$V104-4,0)&amp;"")</f>
        <v>Thaisarco</v>
      </c>
      <c r="S104" s="181" t="str">
        <f t="shared" ca="1" si="15"/>
        <v>TH</v>
      </c>
      <c r="T104" s="181" t="str">
        <f ca="1">IF(B104="","",IF(ISERROR(MATCH($J104,SorP!$B$1:$B$6279,0)),"",INDIRECT("'SorP'!$A$"&amp;MATCH($S104&amp;$J104,SorP!C:C,0))))</f>
        <v>TH-83</v>
      </c>
      <c r="U104" s="201"/>
      <c r="V104" s="226">
        <f>IF(C104="",NA(),IF(OR(C104="Smelter not listed",C104="Smelter not yet identified"),MATCH($B104&amp;$D104,'Smelter Look-up'!$J:$J,0),MATCH($B104&amp;$C104,'Smelter Look-up'!$J:$J,0)))</f>
        <v>526</v>
      </c>
      <c r="X104" s="227">
        <f t="shared" si="16"/>
        <v>0</v>
      </c>
      <c r="AB104" s="228" t="str">
        <f t="shared" si="17"/>
        <v>TinThaisarco</v>
      </c>
    </row>
    <row r="105" spans="1:28" s="227" customFormat="1" ht="20.25">
      <c r="A105" s="298" t="s">
        <v>732</v>
      </c>
      <c r="B105" s="293" t="s">
        <v>1125</v>
      </c>
      <c r="C105" s="294" t="s">
        <v>15048</v>
      </c>
      <c r="D105" s="295"/>
      <c r="E105" s="293" t="s">
        <v>15818</v>
      </c>
      <c r="F105" s="293" t="s">
        <v>732</v>
      </c>
      <c r="G105" s="293" t="s">
        <v>13240</v>
      </c>
      <c r="H105" s="296"/>
      <c r="I105" s="297" t="s">
        <v>1655</v>
      </c>
      <c r="J105" s="297" t="s">
        <v>13620</v>
      </c>
      <c r="K105" s="224"/>
      <c r="L105" s="224"/>
      <c r="M105" s="224"/>
      <c r="N105" s="224"/>
      <c r="O105" s="224"/>
      <c r="P105" s="185"/>
      <c r="Q105" s="225"/>
      <c r="R105" s="182" t="str">
        <f ca="1">IF(ISERROR($V105),"",OFFSET('Smelter Look-up'!$C$4,$V105-4,0)&amp;"")</f>
        <v>Shandong Gold Smelting Co., Ltd.</v>
      </c>
      <c r="S105" s="181" t="str">
        <f t="shared" ca="1" si="15"/>
        <v>CN</v>
      </c>
      <c r="T105" s="181" t="str">
        <f ca="1">IF(B105="","",IF(ISERROR(MATCH($J105,SorP!$B$1:$B$6279,0)),"",INDIRECT("'SorP'!$A$"&amp;MATCH($S105&amp;$J105,SorP!C:C,0))))</f>
        <v>CN-SD</v>
      </c>
      <c r="U105" s="201"/>
      <c r="V105" s="226">
        <f>IF(C105="",NA(),IF(OR(C105="Smelter not listed",C105="Smelter not yet identified"),MATCH($B105&amp;$D105,'Smelter Look-up'!$J:$J,0),MATCH($B105&amp;$C105,'Smelter Look-up'!$J:$J,0)))</f>
        <v>239</v>
      </c>
      <c r="X105" s="227">
        <f t="shared" si="16"/>
        <v>0</v>
      </c>
      <c r="AB105" s="228" t="str">
        <f t="shared" si="17"/>
        <v>GoldShandong Gold Smelting Co., Ltd.</v>
      </c>
    </row>
    <row r="106" spans="1:28" s="227" customFormat="1" ht="20.25">
      <c r="A106" s="298" t="s">
        <v>733</v>
      </c>
      <c r="B106" s="293" t="s">
        <v>1125</v>
      </c>
      <c r="C106" s="294" t="s">
        <v>2163</v>
      </c>
      <c r="D106" s="295"/>
      <c r="E106" s="293" t="s">
        <v>15808</v>
      </c>
      <c r="F106" s="293" t="s">
        <v>733</v>
      </c>
      <c r="G106" s="293" t="s">
        <v>13240</v>
      </c>
      <c r="H106" s="296"/>
      <c r="I106" s="297" t="s">
        <v>1669</v>
      </c>
      <c r="J106" s="297" t="s">
        <v>1580</v>
      </c>
      <c r="K106" s="224"/>
      <c r="L106" s="224"/>
      <c r="M106" s="224"/>
      <c r="N106" s="224"/>
      <c r="O106" s="224"/>
      <c r="P106" s="185"/>
      <c r="Q106" s="225"/>
      <c r="R106" s="182" t="str">
        <f ca="1">IF(ISERROR($V106),"",OFFSET('Smelter Look-up'!$C$4,$V106-4,0)&amp;"")</f>
        <v>Tokuriki Honten Co., Ltd.</v>
      </c>
      <c r="S106" s="181" t="str">
        <f t="shared" ca="1" si="15"/>
        <v>JP</v>
      </c>
      <c r="T106" s="181" t="str">
        <f ca="1">IF(B106="","",IF(ISERROR(MATCH($J106,SorP!$B$1:$B$6279,0)),"",INDIRECT("'SorP'!$A$"&amp;MATCH($S106&amp;$J106,SorP!C:C,0))))</f>
        <v>JP-11</v>
      </c>
      <c r="U106" s="201"/>
      <c r="V106" s="226">
        <f>IF(C106="",NA(),IF(OR(C106="Smelter not listed",C106="Smelter not yet identified"),MATCH($B106&amp;$D106,'Smelter Look-up'!$J:$J,0),MATCH($B106&amp;$C106,'Smelter Look-up'!$J:$J,0)))</f>
        <v>283</v>
      </c>
      <c r="X106" s="227">
        <f t="shared" si="16"/>
        <v>0</v>
      </c>
      <c r="AB106" s="228" t="str">
        <f t="shared" si="17"/>
        <v>GoldTokuriki Honten Co., Ltd.</v>
      </c>
    </row>
    <row r="107" spans="1:28" s="227" customFormat="1" ht="25.5">
      <c r="A107" s="298" t="s">
        <v>735</v>
      </c>
      <c r="B107" s="293" t="s">
        <v>1125</v>
      </c>
      <c r="C107" s="294" t="s">
        <v>610</v>
      </c>
      <c r="D107" s="295"/>
      <c r="E107" s="293" t="s">
        <v>15821</v>
      </c>
      <c r="F107" s="293" t="s">
        <v>735</v>
      </c>
      <c r="G107" s="293" t="s">
        <v>13240</v>
      </c>
      <c r="H107" s="296"/>
      <c r="I107" s="297" t="s">
        <v>1673</v>
      </c>
      <c r="J107" s="297" t="s">
        <v>12869</v>
      </c>
      <c r="K107" s="224"/>
      <c r="L107" s="224"/>
      <c r="M107" s="224"/>
      <c r="N107" s="224"/>
      <c r="O107" s="224"/>
      <c r="P107" s="185"/>
      <c r="Q107" s="225"/>
      <c r="R107" s="182" t="str">
        <f ca="1">IF(ISERROR($V107),"",OFFSET('Smelter Look-up'!$C$4,$V107-4,0)&amp;"")</f>
        <v>Torecom</v>
      </c>
      <c r="S107" s="181" t="str">
        <f t="shared" ca="1" si="15"/>
        <v>KR</v>
      </c>
      <c r="T107" s="181" t="str">
        <f ca="1">IF(B107="","",IF(ISERROR(MATCH($J107,SorP!$B$1:$B$6279,0)),"",INDIRECT("'SorP'!$A$"&amp;MATCH($S107&amp;$J107,SorP!C:C,0))))</f>
        <v>KR-44</v>
      </c>
      <c r="U107" s="201"/>
      <c r="V107" s="226">
        <f>IF(C107="",NA(),IF(OR(C107="Smelter not listed",C107="Smelter not yet identified"),MATCH($B107&amp;$D107,'Smelter Look-up'!$J:$J,0),MATCH($B107&amp;$C107,'Smelter Look-up'!$J:$J,0)))</f>
        <v>288</v>
      </c>
      <c r="X107" s="227">
        <f t="shared" si="16"/>
        <v>0</v>
      </c>
      <c r="AB107" s="228" t="str">
        <f t="shared" si="17"/>
        <v>GoldTorecom</v>
      </c>
    </row>
    <row r="108" spans="1:28" s="227" customFormat="1" ht="20.25">
      <c r="A108" s="298" t="s">
        <v>762</v>
      </c>
      <c r="B108" s="293" t="s">
        <v>1127</v>
      </c>
      <c r="C108" s="294" t="s">
        <v>1738</v>
      </c>
      <c r="D108" s="295"/>
      <c r="E108" s="293" t="s">
        <v>15825</v>
      </c>
      <c r="F108" s="293" t="s">
        <v>762</v>
      </c>
      <c r="G108" s="293" t="s">
        <v>13240</v>
      </c>
      <c r="H108" s="296"/>
      <c r="I108" s="297" t="s">
        <v>1606</v>
      </c>
      <c r="J108" s="297" t="s">
        <v>7058</v>
      </c>
      <c r="K108" s="224"/>
      <c r="L108" s="224"/>
      <c r="M108" s="224"/>
      <c r="N108" s="224"/>
      <c r="O108" s="224"/>
      <c r="P108" s="185"/>
      <c r="Q108" s="225"/>
      <c r="R108" s="182" t="str">
        <f ca="1">IF(ISERROR($V108),"",OFFSET('Smelter Look-up'!$C$4,$V108-4,0)&amp;"")</f>
        <v>Ulba Metallurgical Plant JSC</v>
      </c>
      <c r="S108" s="181" t="str">
        <f t="shared" ca="1" si="15"/>
        <v>KZ</v>
      </c>
      <c r="T108" s="181" t="str">
        <f ca="1">IF(B108="","",IF(ISERROR(MATCH($J108,SorP!$B$1:$B$6279,0)),"",INDIRECT("'SorP'!$A$"&amp;MATCH($S108&amp;$J108,SorP!C:C,0))))</f>
        <v>KZ-KAR</v>
      </c>
      <c r="U108" s="201"/>
      <c r="V108" s="226">
        <f>IF(C108="",NA(),IF(OR(C108="Smelter not listed",C108="Smelter not yet identified"),MATCH($B108&amp;$D108,'Smelter Look-up'!$J:$J,0),MATCH($B108&amp;$C108,'Smelter Look-up'!$J:$J,0)))</f>
        <v>379</v>
      </c>
      <c r="X108" s="227">
        <f t="shared" si="16"/>
        <v>0</v>
      </c>
      <c r="AB108" s="228" t="str">
        <f t="shared" si="17"/>
        <v>TantalumUlba Metallurgical Plant JSC</v>
      </c>
    </row>
    <row r="109" spans="1:28" s="227" customFormat="1" ht="25.5">
      <c r="A109" s="298" t="s">
        <v>736</v>
      </c>
      <c r="B109" s="293" t="s">
        <v>1125</v>
      </c>
      <c r="C109" s="294" t="s">
        <v>2331</v>
      </c>
      <c r="D109" s="295"/>
      <c r="E109" s="293" t="s">
        <v>15835</v>
      </c>
      <c r="F109" s="293" t="s">
        <v>736</v>
      </c>
      <c r="G109" s="293" t="s">
        <v>13240</v>
      </c>
      <c r="H109" s="296"/>
      <c r="I109" s="297" t="s">
        <v>1675</v>
      </c>
      <c r="J109" s="297" t="s">
        <v>3153</v>
      </c>
      <c r="K109" s="224"/>
      <c r="L109" s="224"/>
      <c r="M109" s="224"/>
      <c r="N109" s="224"/>
      <c r="O109" s="224"/>
      <c r="P109" s="185"/>
      <c r="Q109" s="225"/>
      <c r="R109" s="182" t="str">
        <f ca="1">IF(ISERROR($V109),"",OFFSET('Smelter Look-up'!$C$4,$V109-4,0)&amp;"")</f>
        <v>Umicore S.A. Business Unit Precious Metals Refining</v>
      </c>
      <c r="S109" s="181" t="str">
        <f t="shared" ca="1" si="15"/>
        <v>BE</v>
      </c>
      <c r="T109" s="181" t="str">
        <f ca="1">IF(B109="","",IF(ISERROR(MATCH($J109,SorP!$B$1:$B$6279,0)),"",INDIRECT("'SorP'!$A$"&amp;MATCH($S109&amp;$J109,SorP!C:C,0))))</f>
        <v>BE-VAN</v>
      </c>
      <c r="U109" s="201"/>
      <c r="V109" s="226">
        <f>IF(C109="",NA(),IF(OR(C109="Smelter not listed",C109="Smelter not yet identified"),MATCH($B109&amp;$D109,'Smelter Look-up'!$J:$J,0),MATCH($B109&amp;$C109,'Smelter Look-up'!$J:$J,0)))</f>
        <v>293</v>
      </c>
      <c r="X109" s="227">
        <f t="shared" si="16"/>
        <v>0</v>
      </c>
      <c r="AB109" s="228" t="str">
        <f t="shared" si="17"/>
        <v>GoldUmicore S.A. Business Unit Precious Metals Refining</v>
      </c>
    </row>
    <row r="110" spans="1:28" s="227" customFormat="1" ht="25.5">
      <c r="A110" s="298" t="s">
        <v>737</v>
      </c>
      <c r="B110" s="293" t="s">
        <v>1125</v>
      </c>
      <c r="C110" s="294" t="s">
        <v>816</v>
      </c>
      <c r="D110" s="295"/>
      <c r="E110" s="293" t="s">
        <v>15814</v>
      </c>
      <c r="F110" s="293" t="s">
        <v>737</v>
      </c>
      <c r="G110" s="293" t="s">
        <v>13240</v>
      </c>
      <c r="H110" s="296"/>
      <c r="I110" s="297" t="s">
        <v>1677</v>
      </c>
      <c r="J110" s="297" t="s">
        <v>1617</v>
      </c>
      <c r="K110" s="224"/>
      <c r="L110" s="224"/>
      <c r="M110" s="224"/>
      <c r="N110" s="224"/>
      <c r="O110" s="224"/>
      <c r="P110" s="185"/>
      <c r="Q110" s="225"/>
      <c r="R110" s="182" t="str">
        <f ca="1">IF(ISERROR($V110),"",OFFSET('Smelter Look-up'!$C$4,$V110-4,0)&amp;"")</f>
        <v>United Precious Metal Refining, Inc.</v>
      </c>
      <c r="S110" s="181" t="str">
        <f t="shared" ca="1" si="15"/>
        <v>US</v>
      </c>
      <c r="T110" s="181" t="str">
        <f ca="1">IF(B110="","",IF(ISERROR(MATCH($J110,SorP!$B$1:$B$6279,0)),"",INDIRECT("'SorP'!$A$"&amp;MATCH($S110&amp;$J110,SorP!C:C,0))))</f>
        <v>US-NY</v>
      </c>
      <c r="U110" s="201"/>
      <c r="V110" s="226">
        <f>IF(C110="",NA(),IF(OR(C110="Smelter not listed",C110="Smelter not yet identified"),MATCH($B110&amp;$D110,'Smelter Look-up'!$J:$J,0),MATCH($B110&amp;$C110,'Smelter Look-up'!$J:$J,0)))</f>
        <v>294</v>
      </c>
      <c r="X110" s="227">
        <f t="shared" si="16"/>
        <v>0</v>
      </c>
      <c r="AB110" s="228" t="str">
        <f t="shared" si="17"/>
        <v>GoldUnited Precious Metal Refining, Inc.</v>
      </c>
    </row>
    <row r="111" spans="1:28" s="227" customFormat="1" ht="20.25">
      <c r="A111" s="298" t="s">
        <v>738</v>
      </c>
      <c r="B111" s="293" t="s">
        <v>1125</v>
      </c>
      <c r="C111" s="294" t="s">
        <v>2333</v>
      </c>
      <c r="D111" s="295"/>
      <c r="E111" s="293" t="s">
        <v>15812</v>
      </c>
      <c r="F111" s="293" t="s">
        <v>738</v>
      </c>
      <c r="G111" s="293" t="s">
        <v>13240</v>
      </c>
      <c r="H111" s="296"/>
      <c r="I111" s="297" t="s">
        <v>1678</v>
      </c>
      <c r="J111" s="297" t="s">
        <v>1549</v>
      </c>
      <c r="K111" s="224"/>
      <c r="L111" s="224"/>
      <c r="M111" s="224"/>
      <c r="N111" s="224"/>
      <c r="O111" s="224"/>
      <c r="P111" s="185"/>
      <c r="Q111" s="225"/>
      <c r="R111" s="182" t="str">
        <f ca="1">IF(ISERROR($V111),"",OFFSET('Smelter Look-up'!$C$4,$V111-4,0)&amp;"")</f>
        <v>Valcambi S.A.</v>
      </c>
      <c r="S111" s="181" t="str">
        <f t="shared" ca="1" si="15"/>
        <v>CH</v>
      </c>
      <c r="T111" s="181" t="str">
        <f ca="1">IF(B111="","",IF(ISERROR(MATCH($J111,SorP!$B$1:$B$6279,0)),"",INDIRECT("'SorP'!$A$"&amp;MATCH($S111&amp;$J111,SorP!C:C,0))))</f>
        <v>CH-TI</v>
      </c>
      <c r="U111" s="201"/>
      <c r="V111" s="226">
        <f>IF(C111="",NA(),IF(OR(C111="Smelter not listed",C111="Smelter not yet identified"),MATCH($B111&amp;$D111,'Smelter Look-up'!$J:$J,0),MATCH($B111&amp;$C111,'Smelter Look-up'!$J:$J,0)))</f>
        <v>295</v>
      </c>
      <c r="X111" s="227">
        <f t="shared" si="16"/>
        <v>0</v>
      </c>
      <c r="AB111" s="228" t="str">
        <f t="shared" si="17"/>
        <v>GoldValcambi S.A.</v>
      </c>
    </row>
    <row r="112" spans="1:28" s="227" customFormat="1" ht="20.25">
      <c r="A112" s="298" t="s">
        <v>739</v>
      </c>
      <c r="B112" s="293" t="s">
        <v>1125</v>
      </c>
      <c r="C112" s="294" t="s">
        <v>2488</v>
      </c>
      <c r="D112" s="295"/>
      <c r="E112" s="293" t="s">
        <v>15837</v>
      </c>
      <c r="F112" s="293" t="s">
        <v>739</v>
      </c>
      <c r="G112" s="293" t="s">
        <v>13240</v>
      </c>
      <c r="H112" s="296"/>
      <c r="I112" s="297" t="s">
        <v>1679</v>
      </c>
      <c r="J112" s="297" t="s">
        <v>1680</v>
      </c>
      <c r="K112" s="224"/>
      <c r="L112" s="224"/>
      <c r="M112" s="224"/>
      <c r="N112" s="224"/>
      <c r="O112" s="224"/>
      <c r="P112" s="185"/>
      <c r="Q112" s="225"/>
      <c r="R112" s="182" t="str">
        <f ca="1">IF(ISERROR($V112),"",OFFSET('Smelter Look-up'!$C$4,$V112-4,0)&amp;"")</f>
        <v>Western Australian Mint (T/a The Perth Mint)</v>
      </c>
      <c r="S112" s="181" t="str">
        <f t="shared" ca="1" si="15"/>
        <v>AU</v>
      </c>
      <c r="T112" s="181" t="str">
        <f ca="1">IF(B112="","",IF(ISERROR(MATCH($J112,SorP!$B$1:$B$6279,0)),"",INDIRECT("'SorP'!$A$"&amp;MATCH($S112&amp;$J112,SorP!C:C,0))))</f>
        <v>AU-WA</v>
      </c>
      <c r="U112" s="201"/>
      <c r="V112" s="226">
        <f>IF(C112="",NA(),IF(OR(C112="Smelter not listed",C112="Smelter not yet identified"),MATCH($B112&amp;$D112,'Smelter Look-up'!$J:$J,0),MATCH($B112&amp;$C112,'Smelter Look-up'!$J:$J,0)))</f>
        <v>297</v>
      </c>
      <c r="X112" s="227">
        <f t="shared" si="16"/>
        <v>0</v>
      </c>
      <c r="AB112" s="228" t="str">
        <f t="shared" si="17"/>
        <v>GoldWestern Australian Mint (T/a The Perth Mint)</v>
      </c>
    </row>
    <row r="113" spans="1:28" s="227" customFormat="1" ht="20.25">
      <c r="A113" s="298" t="s">
        <v>785</v>
      </c>
      <c r="B113" s="293" t="s">
        <v>1126</v>
      </c>
      <c r="C113" s="294" t="s">
        <v>2532</v>
      </c>
      <c r="D113" s="295"/>
      <c r="E113" s="293" t="s">
        <v>15811</v>
      </c>
      <c r="F113" s="293" t="s">
        <v>785</v>
      </c>
      <c r="G113" s="293" t="s">
        <v>13240</v>
      </c>
      <c r="H113" s="296"/>
      <c r="I113" s="297" t="s">
        <v>1766</v>
      </c>
      <c r="J113" s="297" t="s">
        <v>1770</v>
      </c>
      <c r="K113" s="224"/>
      <c r="L113" s="224"/>
      <c r="M113" s="224"/>
      <c r="N113" s="224"/>
      <c r="O113" s="224"/>
      <c r="P113" s="185"/>
      <c r="Q113" s="225"/>
      <c r="R113" s="182" t="str">
        <f ca="1">IF(ISERROR($V113),"",OFFSET('Smelter Look-up'!$C$4,$V113-4,0)&amp;"")</f>
        <v>White Solder Metalurgia e Mineracao Ltda.</v>
      </c>
      <c r="S113" s="181" t="str">
        <f t="shared" ca="1" si="15"/>
        <v>BR</v>
      </c>
      <c r="T113" s="181" t="str">
        <f ca="1">IF(B113="","",IF(ISERROR(MATCH($J113,SorP!$B$1:$B$6279,0)),"",INDIRECT("'SorP'!$A$"&amp;MATCH($S113&amp;$J113,SorP!C:C,0))))</f>
        <v>BR-RO</v>
      </c>
      <c r="U113" s="201"/>
      <c r="V113" s="226">
        <f>IF(C113="",NA(),IF(OR(C113="Smelter not listed",C113="Smelter not yet identified"),MATCH($B113&amp;$D113,'Smelter Look-up'!$J:$J,0),MATCH($B113&amp;$C113,'Smelter Look-up'!$J:$J,0)))</f>
        <v>535</v>
      </c>
      <c r="X113" s="227">
        <f t="shared" si="16"/>
        <v>0</v>
      </c>
      <c r="AB113" s="228" t="str">
        <f t="shared" si="17"/>
        <v>TinWhite Solder Metalurgia e Mineracao Ltda.</v>
      </c>
    </row>
    <row r="114" spans="1:28" s="227" customFormat="1" ht="20.25">
      <c r="A114" s="298" t="s">
        <v>798</v>
      </c>
      <c r="B114" s="293" t="s">
        <v>1128</v>
      </c>
      <c r="C114" s="294" t="s">
        <v>2539</v>
      </c>
      <c r="D114" s="295"/>
      <c r="E114" s="293" t="s">
        <v>15838</v>
      </c>
      <c r="F114" s="293" t="s">
        <v>798</v>
      </c>
      <c r="G114" s="293" t="s">
        <v>13240</v>
      </c>
      <c r="H114" s="296"/>
      <c r="I114" s="297" t="s">
        <v>1829</v>
      </c>
      <c r="J114" s="297" t="s">
        <v>2810</v>
      </c>
      <c r="K114" s="224"/>
      <c r="L114" s="224"/>
      <c r="M114" s="224"/>
      <c r="N114" s="224"/>
      <c r="O114" s="224"/>
      <c r="P114" s="185"/>
      <c r="Q114" s="225"/>
      <c r="R114" s="182" t="str">
        <f ca="1">IF(ISERROR($V114),"",OFFSET('Smelter Look-up'!$C$4,$V114-4,0)&amp;"")</f>
        <v>Wolfram Bergbau und Hutten AG</v>
      </c>
      <c r="S114" s="181" t="str">
        <f t="shared" ca="1" si="15"/>
        <v>AT</v>
      </c>
      <c r="T114" s="181" t="str">
        <f ca="1">IF(B114="","",IF(ISERROR(MATCH($J114,SorP!$B$1:$B$6279,0)),"",INDIRECT("'SorP'!$A$"&amp;MATCH($S114&amp;$J114,SorP!C:C,0))))</f>
        <v>AT-6</v>
      </c>
      <c r="U114" s="201"/>
      <c r="V114" s="226">
        <f>IF(C114="",NA(),IF(OR(C114="Smelter not listed",C114="Smelter not yet identified"),MATCH($B114&amp;$D114,'Smelter Look-up'!$J:$J,0),MATCH($B114&amp;$C114,'Smelter Look-up'!$J:$J,0)))</f>
        <v>632</v>
      </c>
      <c r="X114" s="227">
        <f t="shared" si="16"/>
        <v>0</v>
      </c>
      <c r="AB114" s="228" t="str">
        <f t="shared" si="17"/>
        <v>TungstenWolfram Bergbau und Hutten AG</v>
      </c>
    </row>
    <row r="115" spans="1:28" s="227" customFormat="1" ht="20.25">
      <c r="A115" s="298" t="s">
        <v>740</v>
      </c>
      <c r="B115" s="293" t="s">
        <v>1125</v>
      </c>
      <c r="C115" s="294" t="s">
        <v>12926</v>
      </c>
      <c r="D115" s="295"/>
      <c r="E115" s="293" t="s">
        <v>15808</v>
      </c>
      <c r="F115" s="293" t="s">
        <v>740</v>
      </c>
      <c r="G115" s="293" t="s">
        <v>13240</v>
      </c>
      <c r="H115" s="296"/>
      <c r="I115" s="297" t="s">
        <v>12941</v>
      </c>
      <c r="J115" s="297" t="s">
        <v>6627</v>
      </c>
      <c r="K115" s="224"/>
      <c r="L115" s="224"/>
      <c r="M115" s="224"/>
      <c r="N115" s="224"/>
      <c r="O115" s="224"/>
      <c r="P115" s="185"/>
      <c r="Q115" s="225"/>
      <c r="R115" s="182" t="str">
        <f ca="1">IF(ISERROR($V115),"",OFFSET('Smelter Look-up'!$C$4,$V115-4,0)&amp;"")</f>
        <v>Yamakin Co., Ltd.</v>
      </c>
      <c r="S115" s="181" t="str">
        <f t="shared" ca="1" si="15"/>
        <v>JP</v>
      </c>
      <c r="T115" s="181" t="str">
        <f ca="1">IF(B115="","",IF(ISERROR(MATCH($J115,SorP!$B$1:$B$6279,0)),"",INDIRECT("'SorP'!$A$"&amp;MATCH($S115&amp;$J115,SorP!C:C,0))))</f>
        <v>JP-39</v>
      </c>
      <c r="U115" s="201"/>
      <c r="V115" s="226">
        <f>IF(C115="",NA(),IF(OR(C115="Smelter not listed",C115="Smelter not yet identified"),MATCH($B115&amp;$D115,'Smelter Look-up'!$J:$J,0),MATCH($B115&amp;$C115,'Smelter Look-up'!$J:$J,0)))</f>
        <v>301</v>
      </c>
      <c r="X115" s="227">
        <f t="shared" si="16"/>
        <v>0</v>
      </c>
      <c r="AB115" s="228" t="str">
        <f t="shared" si="17"/>
        <v>GoldYamakin Co., Ltd.</v>
      </c>
    </row>
    <row r="116" spans="1:28" s="227" customFormat="1" ht="20.25">
      <c r="A116" s="298" t="s">
        <v>741</v>
      </c>
      <c r="B116" s="293" t="s">
        <v>1125</v>
      </c>
      <c r="C116" s="294" t="s">
        <v>2165</v>
      </c>
      <c r="D116" s="295"/>
      <c r="E116" s="293" t="s">
        <v>15808</v>
      </c>
      <c r="F116" s="293" t="s">
        <v>741</v>
      </c>
      <c r="G116" s="293" t="s">
        <v>13240</v>
      </c>
      <c r="H116" s="296"/>
      <c r="I116" s="297" t="s">
        <v>1685</v>
      </c>
      <c r="J116" s="297" t="s">
        <v>1664</v>
      </c>
      <c r="K116" s="224"/>
      <c r="L116" s="224"/>
      <c r="M116" s="224"/>
      <c r="N116" s="224"/>
      <c r="O116" s="224"/>
      <c r="P116" s="185"/>
      <c r="Q116" s="225"/>
      <c r="R116" s="182" t="str">
        <f ca="1">IF(ISERROR($V116),"",OFFSET('Smelter Look-up'!$C$4,$V116-4,0)&amp;"")</f>
        <v>Yokohama Metal Co., Ltd.</v>
      </c>
      <c r="S116" s="181" t="str">
        <f t="shared" ca="1" si="15"/>
        <v>JP</v>
      </c>
      <c r="T116" s="181" t="str">
        <f ca="1">IF(B116="","",IF(ISERROR(MATCH($J116,SorP!$B$1:$B$6279,0)),"",INDIRECT("'SorP'!$A$"&amp;MATCH($S116&amp;$J116,SorP!C:C,0))))</f>
        <v>JP-14</v>
      </c>
      <c r="U116" s="201"/>
      <c r="V116" s="226">
        <f>IF(C116="",NA(),IF(OR(C116="Smelter not listed",C116="Smelter not yet identified"),MATCH($B116&amp;$D116,'Smelter Look-up'!$J:$J,0),MATCH($B116&amp;$C116,'Smelter Look-up'!$J:$J,0)))</f>
        <v>306</v>
      </c>
      <c r="X116" s="227">
        <f t="shared" si="16"/>
        <v>0</v>
      </c>
      <c r="AB116" s="228" t="str">
        <f t="shared" si="17"/>
        <v>GoldYokohama Metal Co., Ltd.</v>
      </c>
    </row>
    <row r="117" spans="1:28" s="227" customFormat="1" ht="25.5">
      <c r="A117" s="298" t="s">
        <v>786</v>
      </c>
      <c r="B117" s="293" t="s">
        <v>1126</v>
      </c>
      <c r="C117" s="294" t="s">
        <v>2166</v>
      </c>
      <c r="D117" s="295"/>
      <c r="E117" s="293" t="s">
        <v>15818</v>
      </c>
      <c r="F117" s="293" t="s">
        <v>786</v>
      </c>
      <c r="G117" s="293" t="s">
        <v>13240</v>
      </c>
      <c r="H117" s="296"/>
      <c r="I117" s="297" t="s">
        <v>2446</v>
      </c>
      <c r="J117" s="297" t="s">
        <v>13628</v>
      </c>
      <c r="K117" s="224"/>
      <c r="L117" s="224"/>
      <c r="M117" s="224"/>
      <c r="N117" s="224"/>
      <c r="O117" s="224"/>
      <c r="P117" s="185"/>
      <c r="Q117" s="225"/>
      <c r="R117" s="182" t="str">
        <f ca="1">IF(ISERROR($V117),"",OFFSET('Smelter Look-up'!$C$4,$V117-4,0)&amp;"")</f>
        <v>Yunnan Chengfeng Non-ferrous Metals Co., Ltd.</v>
      </c>
      <c r="S117" s="181" t="str">
        <f t="shared" ca="1" si="15"/>
        <v>CN</v>
      </c>
      <c r="T117" s="181" t="str">
        <f ca="1">IF(B117="","",IF(ISERROR(MATCH($J117,SorP!$B$1:$B$6279,0)),"",INDIRECT("'SorP'!$A$"&amp;MATCH($S117&amp;$J117,SorP!C:C,0))))</f>
        <v>CN-YN</v>
      </c>
      <c r="U117" s="201"/>
      <c r="V117" s="226">
        <f>IF(C117="",NA(),IF(OR(C117="Smelter not listed",C117="Smelter not yet identified"),MATCH($B117&amp;$D117,'Smelter Look-up'!$J:$J,0),MATCH($B117&amp;$C117,'Smelter Look-up'!$J:$J,0)))</f>
        <v>543</v>
      </c>
      <c r="X117" s="227">
        <f t="shared" si="16"/>
        <v>0</v>
      </c>
      <c r="AB117" s="228" t="str">
        <f t="shared" si="17"/>
        <v>TinYunnan Chengfeng Non-ferrous Metals Co., Ltd.</v>
      </c>
    </row>
    <row r="118" spans="1:28" s="227" customFormat="1" ht="20.25">
      <c r="A118" s="298" t="s">
        <v>787</v>
      </c>
      <c r="B118" s="293" t="s">
        <v>1126</v>
      </c>
      <c r="C118" s="294" t="s">
        <v>15472</v>
      </c>
      <c r="D118" s="295"/>
      <c r="E118" s="293" t="s">
        <v>15818</v>
      </c>
      <c r="F118" s="293" t="s">
        <v>787</v>
      </c>
      <c r="G118" s="293" t="s">
        <v>13240</v>
      </c>
      <c r="H118" s="296"/>
      <c r="I118" s="297" t="s">
        <v>2446</v>
      </c>
      <c r="J118" s="297" t="s">
        <v>13628</v>
      </c>
      <c r="K118" s="224"/>
      <c r="L118" s="224"/>
      <c r="M118" s="224"/>
      <c r="N118" s="224"/>
      <c r="O118" s="224"/>
      <c r="P118" s="185"/>
      <c r="Q118" s="225"/>
      <c r="R118" s="182" t="str">
        <f ca="1">IF(ISERROR($V118),"",OFFSET('Smelter Look-up'!$C$4,$V118-4,0)&amp;"")</f>
        <v>Tin Smelting Branch of Yunnan Tin Co., Ltd.</v>
      </c>
      <c r="S118" s="181" t="str">
        <f t="shared" ca="1" si="15"/>
        <v>CN</v>
      </c>
      <c r="T118" s="181" t="str">
        <f ca="1">IF(B118="","",IF(ISERROR(MATCH($J118,SorP!$B$1:$B$6279,0)),"",INDIRECT("'SorP'!$A$"&amp;MATCH($S118&amp;$J118,SorP!C:C,0))))</f>
        <v>CN-YN</v>
      </c>
      <c r="U118" s="201"/>
      <c r="V118" s="226">
        <f>IF(C118="",NA(),IF(OR(C118="Smelter not listed",C118="Smelter not yet identified"),MATCH($B118&amp;$D118,'Smelter Look-up'!$J:$J,0),MATCH($B118&amp;$C118,'Smelter Look-up'!$J:$J,0)))</f>
        <v>529</v>
      </c>
      <c r="X118" s="227">
        <f t="shared" si="16"/>
        <v>0</v>
      </c>
      <c r="AB118" s="228" t="str">
        <f t="shared" si="17"/>
        <v>TinTin Smelting Branch of Yunnan Tin Co., Ltd.</v>
      </c>
    </row>
    <row r="119" spans="1:28" s="227" customFormat="1" ht="25.5">
      <c r="A119" s="298" t="s">
        <v>743</v>
      </c>
      <c r="B119" s="293" t="s">
        <v>1125</v>
      </c>
      <c r="C119" s="294" t="s">
        <v>1320</v>
      </c>
      <c r="D119" s="295"/>
      <c r="E119" s="293" t="s">
        <v>15818</v>
      </c>
      <c r="F119" s="293" t="s">
        <v>743</v>
      </c>
      <c r="G119" s="293" t="s">
        <v>13240</v>
      </c>
      <c r="H119" s="296"/>
      <c r="I119" s="297" t="s">
        <v>1686</v>
      </c>
      <c r="J119" s="297" t="s">
        <v>13621</v>
      </c>
      <c r="K119" s="224"/>
      <c r="L119" s="224"/>
      <c r="M119" s="224"/>
      <c r="N119" s="224"/>
      <c r="O119" s="224"/>
      <c r="P119" s="185"/>
      <c r="Q119" s="225"/>
      <c r="R119" s="182" t="str">
        <f ca="1">IF(ISERROR($V119),"",OFFSET('Smelter Look-up'!$C$4,$V119-4,0)&amp;"")</f>
        <v>Zhongyuan Gold Smelter of Zhongjin Gold Corporation</v>
      </c>
      <c r="S119" s="181" t="str">
        <f t="shared" ca="1" si="15"/>
        <v>CN</v>
      </c>
      <c r="T119" s="181" t="str">
        <f ca="1">IF(B119="","",IF(ISERROR(MATCH($J119,SorP!$B$1:$B$6279,0)),"",INDIRECT("'SorP'!$A$"&amp;MATCH($S119&amp;$J119,SorP!C:C,0))))</f>
        <v>CN-HA</v>
      </c>
      <c r="U119" s="201"/>
      <c r="V119" s="226">
        <f>IF(C119="",NA(),IF(OR(C119="Smelter not listed",C119="Smelter not yet identified"),MATCH($B119&amp;$D119,'Smelter Look-up'!$J:$J,0),MATCH($B119&amp;$C119,'Smelter Look-up'!$J:$J,0)))</f>
        <v>316</v>
      </c>
      <c r="X119" s="227">
        <f t="shared" si="16"/>
        <v>0</v>
      </c>
      <c r="AB119" s="228" t="str">
        <f t="shared" si="17"/>
        <v>GoldZhongyuan Gold Smelter of Zhongjin Gold Corporation</v>
      </c>
    </row>
    <row r="120" spans="1:28" s="227" customFormat="1" ht="20.25">
      <c r="A120" s="298" t="s">
        <v>744</v>
      </c>
      <c r="B120" s="293" t="s">
        <v>1125</v>
      </c>
      <c r="C120" s="294" t="s">
        <v>2496</v>
      </c>
      <c r="D120" s="295"/>
      <c r="E120" s="293" t="s">
        <v>15818</v>
      </c>
      <c r="F120" s="293" t="s">
        <v>744</v>
      </c>
      <c r="G120" s="293" t="s">
        <v>13240</v>
      </c>
      <c r="H120" s="296"/>
      <c r="I120" s="297" t="s">
        <v>1689</v>
      </c>
      <c r="J120" s="297" t="s">
        <v>13618</v>
      </c>
      <c r="K120" s="224"/>
      <c r="L120" s="224"/>
      <c r="M120" s="224"/>
      <c r="N120" s="224"/>
      <c r="O120" s="224"/>
      <c r="P120" s="185"/>
      <c r="Q120" s="225"/>
      <c r="R120" s="182" t="str">
        <f ca="1">IF(ISERROR($V120),"",OFFSET('Smelter Look-up'!$C$4,$V120-4,0)&amp;"")</f>
        <v>Gold Refinery of Zijin Mining Group Co., Ltd.</v>
      </c>
      <c r="S120" s="181" t="str">
        <f t="shared" ca="1" si="15"/>
        <v>CN</v>
      </c>
      <c r="T120" s="181" t="str">
        <f ca="1">IF(B120="","",IF(ISERROR(MATCH($J120,SorP!$B$1:$B$6279,0)),"",INDIRECT("'SorP'!$A$"&amp;MATCH($S120&amp;$J120,SorP!C:C,0))))</f>
        <v>CN-FJ</v>
      </c>
      <c r="U120" s="201"/>
      <c r="V120" s="226">
        <f>IF(C120="",NA(),IF(OR(C120="Smelter not listed",C120="Smelter not yet identified"),MATCH($B120&amp;$D120,'Smelter Look-up'!$J:$J,0),MATCH($B120&amp;$C120,'Smelter Look-up'!$J:$J,0)))</f>
        <v>92</v>
      </c>
      <c r="X120" s="227">
        <f t="shared" si="16"/>
        <v>0</v>
      </c>
      <c r="AB120" s="228" t="str">
        <f t="shared" si="17"/>
        <v>GoldGold Refinery of Zijin Mining Group Co., Ltd.</v>
      </c>
    </row>
    <row r="121" spans="1:28" s="227" customFormat="1" ht="20.25">
      <c r="A121" s="298" t="s">
        <v>2318</v>
      </c>
      <c r="B121" s="293" t="s">
        <v>1125</v>
      </c>
      <c r="C121" s="294" t="s">
        <v>2317</v>
      </c>
      <c r="D121" s="295"/>
      <c r="E121" s="293" t="s">
        <v>15839</v>
      </c>
      <c r="F121" s="293" t="s">
        <v>2318</v>
      </c>
      <c r="G121" s="293" t="s">
        <v>13240</v>
      </c>
      <c r="H121" s="296"/>
      <c r="I121" s="297" t="s">
        <v>2319</v>
      </c>
      <c r="J121" s="297" t="s">
        <v>4151</v>
      </c>
      <c r="K121" s="224"/>
      <c r="L121" s="224"/>
      <c r="M121" s="224"/>
      <c r="N121" s="224"/>
      <c r="O121" s="224"/>
      <c r="P121" s="185"/>
      <c r="Q121" s="225"/>
      <c r="R121" s="182" t="str">
        <f ca="1">IF(ISERROR($V121),"",OFFSET('Smelter Look-up'!$C$4,$V121-4,0)&amp;"")</f>
        <v>SAFINA A.S.</v>
      </c>
      <c r="S121" s="181" t="str">
        <f t="shared" ca="1" si="15"/>
        <v>CZ</v>
      </c>
      <c r="T121" s="181" t="str">
        <f ca="1">IF(B121="","",IF(ISERROR(MATCH($J121,SorP!$B$1:$B$6279,0)),"",INDIRECT("'SorP'!$A$"&amp;MATCH($S121&amp;$J121,SorP!C:C,0))))</f>
        <v>CZ-20A</v>
      </c>
      <c r="U121" s="201"/>
      <c r="V121" s="226">
        <f>IF(C121="",NA(),IF(OR(C121="Smelter not listed",C121="Smelter not yet identified"),MATCH($B121&amp;$D121,'Smelter Look-up'!$J:$J,0),MATCH($B121&amp;$C121,'Smelter Look-up'!$J:$J,0)))</f>
        <v>224</v>
      </c>
      <c r="X121" s="227">
        <f t="shared" si="16"/>
        <v>0</v>
      </c>
      <c r="AB121" s="228" t="str">
        <f t="shared" si="17"/>
        <v>GoldSAFINA A.S.</v>
      </c>
    </row>
    <row r="122" spans="1:28" s="227" customFormat="1" ht="20.25">
      <c r="A122" s="298" t="s">
        <v>141</v>
      </c>
      <c r="B122" s="293" t="s">
        <v>1128</v>
      </c>
      <c r="C122" s="294" t="s">
        <v>152</v>
      </c>
      <c r="D122" s="295"/>
      <c r="E122" s="293" t="s">
        <v>15818</v>
      </c>
      <c r="F122" s="293" t="s">
        <v>141</v>
      </c>
      <c r="G122" s="293" t="s">
        <v>13240</v>
      </c>
      <c r="H122" s="296"/>
      <c r="I122" s="297" t="s">
        <v>1773</v>
      </c>
      <c r="J122" s="297" t="s">
        <v>13619</v>
      </c>
      <c r="K122" s="224"/>
      <c r="L122" s="224"/>
      <c r="M122" s="224"/>
      <c r="N122" s="224"/>
      <c r="O122" s="224"/>
      <c r="P122" s="185"/>
      <c r="Q122" s="225"/>
      <c r="R122" s="182" t="str">
        <f ca="1">IF(ISERROR($V122),"",OFFSET('Smelter Look-up'!$C$4,$V122-4,0)&amp;"")</f>
        <v>Jiangxi Yaosheng Tungsten Co., Ltd.</v>
      </c>
      <c r="S122" s="181" t="str">
        <f t="shared" ca="1" si="15"/>
        <v>CN</v>
      </c>
      <c r="T122" s="181" t="str">
        <f ca="1">IF(B122="","",IF(ISERROR(MATCH($J122,SorP!$B$1:$B$6279,0)),"",INDIRECT("'SorP'!$A$"&amp;MATCH($S122&amp;$J122,SorP!C:C,0))))</f>
        <v>CN-JX</v>
      </c>
      <c r="U122" s="201"/>
      <c r="V122" s="226">
        <f>IF(C122="",NA(),IF(OR(C122="Smelter not listed",C122="Smelter not yet identified"),MATCH($B122&amp;$D122,'Smelter Look-up'!$J:$J,0),MATCH($B122&amp;$C122,'Smelter Look-up'!$J:$J,0)))</f>
        <v>608</v>
      </c>
      <c r="X122" s="227">
        <f t="shared" si="16"/>
        <v>0</v>
      </c>
      <c r="AB122" s="228" t="str">
        <f t="shared" si="17"/>
        <v>TungstenJiangxi Yaosheng Tungsten Co., Ltd.</v>
      </c>
    </row>
    <row r="123" spans="1:28" s="227" customFormat="1" ht="20.25">
      <c r="A123" s="298" t="s">
        <v>142</v>
      </c>
      <c r="B123" s="293" t="s">
        <v>1128</v>
      </c>
      <c r="C123" s="294" t="s">
        <v>153</v>
      </c>
      <c r="D123" s="295"/>
      <c r="E123" s="293" t="s">
        <v>15818</v>
      </c>
      <c r="F123" s="293" t="s">
        <v>142</v>
      </c>
      <c r="G123" s="293" t="s">
        <v>13240</v>
      </c>
      <c r="H123" s="296"/>
      <c r="I123" s="297" t="s">
        <v>1773</v>
      </c>
      <c r="J123" s="297" t="s">
        <v>13619</v>
      </c>
      <c r="K123" s="224"/>
      <c r="L123" s="224"/>
      <c r="M123" s="224"/>
      <c r="N123" s="224"/>
      <c r="O123" s="224"/>
      <c r="P123" s="185"/>
      <c r="Q123" s="225"/>
      <c r="R123" s="182" t="str">
        <f ca="1">IF(ISERROR($V123),"",OFFSET('Smelter Look-up'!$C$4,$V123-4,0)&amp;"")</f>
        <v>Jiangxi Xinsheng Tungsten Industry Co., Ltd.</v>
      </c>
      <c r="S123" s="181" t="str">
        <f t="shared" ca="1" si="15"/>
        <v>CN</v>
      </c>
      <c r="T123" s="181" t="str">
        <f ca="1">IF(B123="","",IF(ISERROR(MATCH($J123,SorP!$B$1:$B$6279,0)),"",INDIRECT("'SorP'!$A$"&amp;MATCH($S123&amp;$J123,SorP!C:C,0))))</f>
        <v>CN-JX</v>
      </c>
      <c r="U123" s="201"/>
      <c r="V123" s="226">
        <f>IF(C123="",NA(),IF(OR(C123="Smelter not listed",C123="Smelter not yet identified"),MATCH($B123&amp;$D123,'Smelter Look-up'!$J:$J,0),MATCH($B123&amp;$C123,'Smelter Look-up'!$J:$J,0)))</f>
        <v>607</v>
      </c>
      <c r="X123" s="227">
        <f t="shared" si="16"/>
        <v>0</v>
      </c>
      <c r="AB123" s="228" t="str">
        <f t="shared" si="17"/>
        <v>TungstenJiangxi Xinsheng Tungsten Industry Co., Ltd.</v>
      </c>
    </row>
    <row r="124" spans="1:28" s="227" customFormat="1" ht="25.5">
      <c r="A124" s="298" t="s">
        <v>143</v>
      </c>
      <c r="B124" s="293" t="s">
        <v>1128</v>
      </c>
      <c r="C124" s="294" t="s">
        <v>154</v>
      </c>
      <c r="D124" s="295"/>
      <c r="E124" s="293" t="s">
        <v>15818</v>
      </c>
      <c r="F124" s="293" t="s">
        <v>143</v>
      </c>
      <c r="G124" s="293" t="s">
        <v>13240</v>
      </c>
      <c r="H124" s="296"/>
      <c r="I124" s="297" t="s">
        <v>1834</v>
      </c>
      <c r="J124" s="297" t="s">
        <v>13619</v>
      </c>
      <c r="K124" s="224"/>
      <c r="L124" s="224"/>
      <c r="M124" s="224"/>
      <c r="N124" s="224"/>
      <c r="O124" s="224"/>
      <c r="P124" s="185"/>
      <c r="Q124" s="225"/>
      <c r="R124" s="182" t="str">
        <f ca="1">IF(ISERROR($V124),"",OFFSET('Smelter Look-up'!$C$4,$V124-4,0)&amp;"")</f>
        <v>Jiangxi Tonggu Non-ferrous Metallurgical &amp; Chemical Co., Ltd.</v>
      </c>
      <c r="S124" s="181" t="str">
        <f t="shared" ca="1" si="15"/>
        <v>CN</v>
      </c>
      <c r="T124" s="181" t="str">
        <f ca="1">IF(B124="","",IF(ISERROR(MATCH($J124,SorP!$B$1:$B$6279,0)),"",INDIRECT("'SorP'!$A$"&amp;MATCH($S124&amp;$J124,SorP!C:C,0))))</f>
        <v>CN-JX</v>
      </c>
      <c r="U124" s="201"/>
      <c r="V124" s="226">
        <f>IF(C124="",NA(),IF(OR(C124="Smelter not listed",C124="Smelter not yet identified"),MATCH($B124&amp;$D124,'Smelter Look-up'!$J:$J,0),MATCH($B124&amp;$C124,'Smelter Look-up'!$J:$J,0)))</f>
        <v>604</v>
      </c>
      <c r="X124" s="227">
        <f t="shared" si="16"/>
        <v>0</v>
      </c>
      <c r="AB124" s="228" t="str">
        <f t="shared" si="17"/>
        <v>TungstenJiangxi Tonggu Non-ferrous Metallurgical &amp; Chemical Co., Ltd.</v>
      </c>
    </row>
    <row r="125" spans="1:28" s="227" customFormat="1" ht="20.25">
      <c r="A125" s="298" t="s">
        <v>144</v>
      </c>
      <c r="B125" s="293" t="s">
        <v>1128</v>
      </c>
      <c r="C125" s="294" t="s">
        <v>155</v>
      </c>
      <c r="D125" s="295"/>
      <c r="E125" s="293" t="s">
        <v>15818</v>
      </c>
      <c r="F125" s="293" t="s">
        <v>144</v>
      </c>
      <c r="G125" s="293" t="s">
        <v>13240</v>
      </c>
      <c r="H125" s="296"/>
      <c r="I125" s="297" t="s">
        <v>1835</v>
      </c>
      <c r="J125" s="297" t="s">
        <v>13628</v>
      </c>
      <c r="K125" s="224"/>
      <c r="L125" s="224"/>
      <c r="M125" s="224"/>
      <c r="N125" s="224"/>
      <c r="O125" s="224"/>
      <c r="P125" s="185"/>
      <c r="Q125" s="225"/>
      <c r="R125" s="182" t="str">
        <f ca="1">IF(ISERROR($V125),"",OFFSET('Smelter Look-up'!$C$4,$V125-4,0)&amp;"")</f>
        <v>Malipo Haiyu Tungsten Co., Ltd.</v>
      </c>
      <c r="S125" s="181" t="str">
        <f t="shared" ca="1" si="15"/>
        <v>CN</v>
      </c>
      <c r="T125" s="181" t="str">
        <f ca="1">IF(B125="","",IF(ISERROR(MATCH($J125,SorP!$B$1:$B$6279,0)),"",INDIRECT("'SorP'!$A$"&amp;MATCH($S125&amp;$J125,SorP!C:C,0))))</f>
        <v>CN-YN</v>
      </c>
      <c r="U125" s="201"/>
      <c r="V125" s="226">
        <f>IF(C125="",NA(),IF(OR(C125="Smelter not listed",C125="Smelter not yet identified"),MATCH($B125&amp;$D125,'Smelter Look-up'!$J:$J,0),MATCH($B125&amp;$C125,'Smelter Look-up'!$J:$J,0)))</f>
        <v>615</v>
      </c>
      <c r="X125" s="227">
        <f t="shared" si="16"/>
        <v>0</v>
      </c>
      <c r="AB125" s="228" t="str">
        <f t="shared" si="17"/>
        <v>TungstenMalipo Haiyu Tungsten Co., Ltd.</v>
      </c>
    </row>
    <row r="126" spans="1:28" s="227" customFormat="1" ht="20.25">
      <c r="A126" s="300" t="s">
        <v>145</v>
      </c>
      <c r="B126" s="293" t="s">
        <v>1128</v>
      </c>
      <c r="C126" s="294" t="s">
        <v>156</v>
      </c>
      <c r="D126" s="295"/>
      <c r="E126" s="293" t="s">
        <v>15818</v>
      </c>
      <c r="F126" s="293" t="s">
        <v>145</v>
      </c>
      <c r="G126" s="293" t="s">
        <v>13240</v>
      </c>
      <c r="H126" s="296"/>
      <c r="I126" s="297" t="s">
        <v>1832</v>
      </c>
      <c r="J126" s="297" t="s">
        <v>13618</v>
      </c>
      <c r="K126" s="224"/>
      <c r="L126" s="224"/>
      <c r="M126" s="224"/>
      <c r="N126" s="224"/>
      <c r="O126" s="224"/>
      <c r="P126" s="185"/>
      <c r="Q126" s="225"/>
      <c r="R126" s="182" t="str">
        <f ca="1">IF(ISERROR($V126),"",OFFSET('Smelter Look-up'!$C$4,$V126-4,0)&amp;"")</f>
        <v>Xiamen Tungsten (H.C.) Co., Ltd.</v>
      </c>
      <c r="S126" s="181" t="str">
        <f t="shared" ca="1" si="15"/>
        <v>CN</v>
      </c>
      <c r="T126" s="181" t="str">
        <f ca="1">IF(B126="","",IF(ISERROR(MATCH($J126,SorP!$B$1:$B$6279,0)),"",INDIRECT("'SorP'!$A$"&amp;MATCH($S126&amp;$J126,SorP!C:C,0))))</f>
        <v>CN-FJ</v>
      </c>
      <c r="U126" s="201"/>
      <c r="V126" s="226">
        <f>IF(C126="",NA(),IF(OR(C126="Smelter not listed",C126="Smelter not yet identified"),MATCH($B126&amp;$D126,'Smelter Look-up'!$J:$J,0),MATCH($B126&amp;$C126,'Smelter Look-up'!$J:$J,0)))</f>
        <v>635</v>
      </c>
      <c r="X126" s="227">
        <f t="shared" si="16"/>
        <v>0</v>
      </c>
      <c r="AB126" s="228" t="str">
        <f t="shared" si="17"/>
        <v>TungstenXiamen Tungsten (H.C.) Co., Ltd.</v>
      </c>
    </row>
    <row r="127" spans="1:28" s="227" customFormat="1" ht="20.25">
      <c r="A127" s="300" t="s">
        <v>138</v>
      </c>
      <c r="B127" s="293" t="s">
        <v>1128</v>
      </c>
      <c r="C127" s="294" t="s">
        <v>157</v>
      </c>
      <c r="D127" s="295"/>
      <c r="E127" s="293" t="s">
        <v>15818</v>
      </c>
      <c r="F127" s="293" t="s">
        <v>138</v>
      </c>
      <c r="G127" s="293" t="s">
        <v>13240</v>
      </c>
      <c r="H127" s="296"/>
      <c r="I127" s="297" t="s">
        <v>1837</v>
      </c>
      <c r="J127" s="297" t="s">
        <v>13619</v>
      </c>
      <c r="K127" s="224"/>
      <c r="L127" s="224"/>
      <c r="M127" s="224"/>
      <c r="N127" s="224"/>
      <c r="O127" s="224"/>
      <c r="P127" s="185"/>
      <c r="Q127" s="225"/>
      <c r="R127" s="182" t="str">
        <f ca="1">IF(ISERROR($V127),"",OFFSET('Smelter Look-up'!$C$4,$V127-4,0)&amp;"")</f>
        <v>Jiangxi Gan Bei Tungsten Co., Ltd.</v>
      </c>
      <c r="S127" s="181" t="str">
        <f t="shared" ca="1" si="15"/>
        <v>CN</v>
      </c>
      <c r="T127" s="181" t="str">
        <f ca="1">IF(B127="","",IF(ISERROR(MATCH($J127,SorP!$B$1:$B$6279,0)),"",INDIRECT("'SorP'!$A$"&amp;MATCH($S127&amp;$J127,SorP!C:C,0))))</f>
        <v>CN-JX</v>
      </c>
      <c r="U127" s="201"/>
      <c r="V127" s="226">
        <f>IF(C127="",NA(),IF(OR(C127="Smelter not listed",C127="Smelter not yet identified"),MATCH($B127&amp;$D127,'Smelter Look-up'!$J:$J,0),MATCH($B127&amp;$C127,'Smelter Look-up'!$J:$J,0)))</f>
        <v>602</v>
      </c>
      <c r="X127" s="227">
        <f t="shared" si="16"/>
        <v>0</v>
      </c>
      <c r="AB127" s="228" t="str">
        <f t="shared" si="17"/>
        <v>TungstenJiangxi Gan Bei Tungsten Co., Ltd.</v>
      </c>
    </row>
    <row r="128" spans="1:28" s="227" customFormat="1" ht="25.5">
      <c r="A128" s="298" t="s">
        <v>15097</v>
      </c>
      <c r="B128" s="293" t="s">
        <v>1126</v>
      </c>
      <c r="C128" s="294" t="s">
        <v>15096</v>
      </c>
      <c r="D128" s="295"/>
      <c r="E128" s="293" t="s">
        <v>15820</v>
      </c>
      <c r="F128" s="293" t="s">
        <v>15097</v>
      </c>
      <c r="G128" s="293" t="s">
        <v>13240</v>
      </c>
      <c r="H128" s="296"/>
      <c r="I128" s="297" t="s">
        <v>15143</v>
      </c>
      <c r="J128" s="297" t="s">
        <v>12852</v>
      </c>
      <c r="K128" s="224"/>
      <c r="L128" s="224"/>
      <c r="M128" s="224"/>
      <c r="N128" s="224"/>
      <c r="O128" s="224"/>
      <c r="P128" s="185"/>
      <c r="Q128" s="225"/>
      <c r="R128" s="182" t="str">
        <f ca="1">IF(ISERROR($V128),"",OFFSET('Smelter Look-up'!$C$4,$V128-4,0)&amp;"")</f>
        <v>CV Venus Inti Perkasa</v>
      </c>
      <c r="S128" s="181" t="str">
        <f t="shared" ca="1" si="15"/>
        <v>ID</v>
      </c>
      <c r="T128" s="181" t="str">
        <f ca="1">IF(B128="","",IF(ISERROR(MATCH($J128,SorP!$B$1:$B$6279,0)),"",INDIRECT("'SorP'!$A$"&amp;MATCH($S128&amp;$J128,SorP!C:C,0))))</f>
        <v>ID-BB</v>
      </c>
      <c r="U128" s="201"/>
      <c r="V128" s="226">
        <f>IF(C128="",NA(),IF(OR(C128="Smelter not listed",C128="Smelter not yet identified"),MATCH($B128&amp;$D128,'Smelter Look-up'!$J:$J,0),MATCH($B128&amp;$C128,'Smelter Look-up'!$J:$J,0)))</f>
        <v>415</v>
      </c>
      <c r="X128" s="227">
        <f t="shared" si="16"/>
        <v>0</v>
      </c>
      <c r="AB128" s="228" t="str">
        <f t="shared" si="17"/>
        <v>TinCV Venus Inti Perkasa</v>
      </c>
    </row>
    <row r="129" spans="1:28" s="227" customFormat="1" ht="20.25">
      <c r="A129" s="301" t="s">
        <v>139</v>
      </c>
      <c r="B129" s="408" t="s">
        <v>1126</v>
      </c>
      <c r="C129" s="409" t="s">
        <v>2167</v>
      </c>
      <c r="D129" s="410"/>
      <c r="E129" s="408" t="s">
        <v>15811</v>
      </c>
      <c r="F129" s="408" t="s">
        <v>139</v>
      </c>
      <c r="G129" s="408" t="s">
        <v>13240</v>
      </c>
      <c r="H129" s="411"/>
      <c r="I129" s="411" t="s">
        <v>1721</v>
      </c>
      <c r="J129" s="411" t="s">
        <v>1547</v>
      </c>
      <c r="K129" s="224"/>
      <c r="L129" s="224"/>
      <c r="M129" s="224"/>
      <c r="N129" s="224"/>
      <c r="O129" s="224"/>
      <c r="P129" s="185"/>
      <c r="Q129" s="225"/>
      <c r="R129" s="182" t="str">
        <f ca="1">IF(ISERROR($V129),"",OFFSET('Smelter Look-up'!$C$4,$V129-4,0)&amp;"")</f>
        <v>Magnu's Minerais Metais e Ligas Ltda.</v>
      </c>
      <c r="S129" s="181" t="str">
        <f t="shared" ca="1" si="15"/>
        <v>BR</v>
      </c>
      <c r="T129" s="181" t="str">
        <f ca="1">IF(B129="","",IF(ISERROR(MATCH($J129,SorP!$B$1:$B$6279,0)),"",INDIRECT("'SorP'!$A$"&amp;MATCH($S129&amp;$J129,SorP!C:C,0))))</f>
        <v>BR-MG</v>
      </c>
      <c r="U129" s="201"/>
      <c r="V129" s="226">
        <f>IF(C129="",NA(),IF(OR(C129="Smelter not listed",C129="Smelter not yet identified"),MATCH($B129&amp;$D129,'Smelter Look-up'!$J:$J,0),MATCH($B129&amp;$C129,'Smelter Look-up'!$J:$J,0)))</f>
        <v>457</v>
      </c>
      <c r="X129" s="227">
        <f t="shared" si="16"/>
        <v>0</v>
      </c>
      <c r="AB129" s="228" t="str">
        <f t="shared" si="17"/>
        <v>TinMagnu's Minerais Metais e Ligas Ltda.</v>
      </c>
    </row>
    <row r="130" spans="1:28" s="227" customFormat="1" ht="25.5">
      <c r="A130" s="301" t="s">
        <v>396</v>
      </c>
      <c r="B130" s="408" t="s">
        <v>1127</v>
      </c>
      <c r="C130" s="409" t="s">
        <v>3</v>
      </c>
      <c r="D130" s="410"/>
      <c r="E130" s="408" t="s">
        <v>15818</v>
      </c>
      <c r="F130" s="408" t="s">
        <v>396</v>
      </c>
      <c r="G130" s="408" t="s">
        <v>13240</v>
      </c>
      <c r="H130" s="411"/>
      <c r="I130" s="411" t="s">
        <v>1740</v>
      </c>
      <c r="J130" s="411" t="s">
        <v>13623</v>
      </c>
      <c r="K130" s="224"/>
      <c r="L130" s="224"/>
      <c r="M130" s="224"/>
      <c r="N130" s="224"/>
      <c r="O130" s="224"/>
      <c r="P130" s="185"/>
      <c r="Q130" s="225"/>
      <c r="R130" s="182" t="str">
        <f ca="1">IF(ISERROR($V130),"",OFFSET('Smelter Look-up'!$C$4,$V130-4,0)&amp;"")</f>
        <v>Hengyang King Xing Lifeng New Materials Co., Ltd.</v>
      </c>
      <c r="S130" s="181" t="str">
        <f t="shared" ca="1" si="15"/>
        <v>CN</v>
      </c>
      <c r="T130" s="181" t="str">
        <f ca="1">IF(B130="","",IF(ISERROR(MATCH($J130,SorP!$B$1:$B$6279,0)),"",INDIRECT("'SorP'!$A$"&amp;MATCH($S130&amp;$J130,SorP!C:C,0))))</f>
        <v>CN-HN</v>
      </c>
      <c r="U130" s="201"/>
      <c r="V130" s="226">
        <f>IF(C130="",NA(),IF(OR(C130="Smelter not listed",C130="Smelter not yet identified"),MATCH($B130&amp;$D130,'Smelter Look-up'!$J:$J,0),MATCH($B130&amp;$C130,'Smelter Look-up'!$J:$J,0)))</f>
        <v>338</v>
      </c>
      <c r="X130" s="227">
        <f t="shared" si="16"/>
        <v>0</v>
      </c>
      <c r="AB130" s="228" t="str">
        <f t="shared" si="17"/>
        <v>TantalumHengyang King Xing Lifeng New Materials Co., Ltd.</v>
      </c>
    </row>
    <row r="131" spans="1:28" s="227" customFormat="1" ht="20.25">
      <c r="A131" s="301" t="s">
        <v>393</v>
      </c>
      <c r="B131" s="408" t="s">
        <v>1128</v>
      </c>
      <c r="C131" s="409" t="s">
        <v>392</v>
      </c>
      <c r="D131" s="410"/>
      <c r="E131" s="408" t="s">
        <v>15818</v>
      </c>
      <c r="F131" s="408" t="s">
        <v>393</v>
      </c>
      <c r="G131" s="408" t="s">
        <v>13240</v>
      </c>
      <c r="H131" s="411"/>
      <c r="I131" s="411" t="s">
        <v>1773</v>
      </c>
      <c r="J131" s="411" t="s">
        <v>13619</v>
      </c>
      <c r="K131" s="224"/>
      <c r="L131" s="224"/>
      <c r="M131" s="224"/>
      <c r="N131" s="224"/>
      <c r="O131" s="224"/>
      <c r="P131" s="185"/>
      <c r="Q131" s="225"/>
      <c r="R131" s="182" t="str">
        <f ca="1">IF(ISERROR($V131),"",OFFSET('Smelter Look-up'!$C$4,$V131-4,0)&amp;"")</f>
        <v>Ganzhou Seadragon W &amp; Mo Co., Ltd.</v>
      </c>
      <c r="S131" s="181" t="str">
        <f t="shared" ca="1" si="15"/>
        <v>CN</v>
      </c>
      <c r="T131" s="181" t="str">
        <f ca="1">IF(B131="","",IF(ISERROR(MATCH($J131,SorP!$B$1:$B$6279,0)),"",INDIRECT("'SorP'!$A$"&amp;MATCH($S131&amp;$J131,SorP!C:C,0))))</f>
        <v>CN-JX</v>
      </c>
      <c r="U131" s="201"/>
      <c r="V131" s="226">
        <f>IF(C131="",NA(),IF(OR(C131="Smelter not listed",C131="Smelter not yet identified"),MATCH($B131&amp;$D131,'Smelter Look-up'!$J:$J,0),MATCH($B131&amp;$C131,'Smelter Look-up'!$J:$J,0)))</f>
        <v>583</v>
      </c>
      <c r="X131" s="227">
        <f t="shared" si="16"/>
        <v>0</v>
      </c>
      <c r="AB131" s="228" t="str">
        <f t="shared" si="17"/>
        <v>TungstenGanzhou Seadragon W &amp; Mo Co., Ltd.</v>
      </c>
    </row>
    <row r="132" spans="1:28" s="227" customFormat="1" ht="25.5">
      <c r="A132" s="301" t="s">
        <v>1399</v>
      </c>
      <c r="B132" s="408" t="s">
        <v>1126</v>
      </c>
      <c r="C132" s="409" t="s">
        <v>1398</v>
      </c>
      <c r="D132" s="410"/>
      <c r="E132" s="408" t="s">
        <v>15820</v>
      </c>
      <c r="F132" s="408" t="s">
        <v>1399</v>
      </c>
      <c r="G132" s="408" t="s">
        <v>13240</v>
      </c>
      <c r="H132" s="411"/>
      <c r="I132" s="411" t="s">
        <v>1767</v>
      </c>
      <c r="J132" s="411" t="s">
        <v>12852</v>
      </c>
      <c r="K132" s="224"/>
      <c r="L132" s="224"/>
      <c r="M132" s="224"/>
      <c r="N132" s="224"/>
      <c r="O132" s="224"/>
      <c r="P132" s="185"/>
      <c r="Q132" s="225"/>
      <c r="R132" s="182" t="str">
        <f ca="1">IF(ISERROR($V132),"",OFFSET('Smelter Look-up'!$C$4,$V132-4,0)&amp;"")</f>
        <v>PT ATD Makmur Mandiri Jaya</v>
      </c>
      <c r="S132" s="181" t="str">
        <f t="shared" ca="1" si="15"/>
        <v>ID</v>
      </c>
      <c r="T132" s="181" t="str">
        <f ca="1">IF(B132="","",IF(ISERROR(MATCH($J132,SorP!$B$1:$B$6279,0)),"",INDIRECT("'SorP'!$A$"&amp;MATCH($S132&amp;$J132,SorP!C:C,0))))</f>
        <v>ID-BB</v>
      </c>
      <c r="U132" s="201"/>
      <c r="V132" s="226">
        <f>IF(C132="",NA(),IF(OR(C132="Smelter not listed",C132="Smelter not yet identified"),MATCH($B132&amp;$D132,'Smelter Look-up'!$J:$J,0),MATCH($B132&amp;$C132,'Smelter Look-up'!$J:$J,0)))</f>
        <v>488</v>
      </c>
      <c r="X132" s="227">
        <f t="shared" si="16"/>
        <v>0</v>
      </c>
      <c r="AB132" s="228" t="str">
        <f t="shared" si="17"/>
        <v>TinPT ATD Makmur Mandiri Jaya</v>
      </c>
    </row>
    <row r="133" spans="1:28" s="227" customFormat="1" ht="25.5">
      <c r="A133" s="301" t="s">
        <v>1391</v>
      </c>
      <c r="B133" s="408" t="s">
        <v>1127</v>
      </c>
      <c r="C133" s="409" t="s">
        <v>1390</v>
      </c>
      <c r="D133" s="410"/>
      <c r="E133" s="408" t="s">
        <v>15814</v>
      </c>
      <c r="F133" s="408" t="s">
        <v>1391</v>
      </c>
      <c r="G133" s="408" t="s">
        <v>13240</v>
      </c>
      <c r="H133" s="411"/>
      <c r="I133" s="411" t="s">
        <v>1741</v>
      </c>
      <c r="J133" s="411" t="s">
        <v>1742</v>
      </c>
      <c r="K133" s="224"/>
      <c r="L133" s="224"/>
      <c r="M133" s="224"/>
      <c r="N133" s="224"/>
      <c r="O133" s="224"/>
      <c r="P133" s="185"/>
      <c r="Q133" s="225"/>
      <c r="R133" s="182" t="str">
        <f ca="1">IF(ISERROR($V133),"",OFFSET('Smelter Look-up'!$C$4,$V133-4,0)&amp;"")</f>
        <v>D Block Metals, LLC</v>
      </c>
      <c r="S133" s="181" t="str">
        <f t="shared" ref="S133" ca="1" si="18">IF(B133="","",IF(ISERROR(MATCH($E133,CL,0)),"Unknown",INDIRECT("'C'!$A$"&amp;MATCH($E133,CL,0)+1)))</f>
        <v>US</v>
      </c>
      <c r="T133" s="181" t="str">
        <f ca="1">IF(B133="","",IF(ISERROR(MATCH($J133,SorP!$B$1:$B$6279,0)),"",INDIRECT("'SorP'!$A$"&amp;MATCH($S133&amp;$J133,SorP!C:C,0))))</f>
        <v>US-NC</v>
      </c>
      <c r="U133" s="201"/>
      <c r="V133" s="226">
        <f>IF(C133="",NA(),IF(OR(C133="Smelter not listed",C133="Smelter not yet identified"),MATCH($B133&amp;$D133,'Smelter Look-up'!$J:$J,0),MATCH($B133&amp;$C133,'Smelter Look-up'!$J:$J,0)))</f>
        <v>326</v>
      </c>
      <c r="X133" s="227">
        <f t="shared" ref="X133" si="19">IF(AND(C133="Smelter not listed",OR(LEN(D133)=0,LEN(E133)=0)),1,0)</f>
        <v>0</v>
      </c>
      <c r="AB133" s="228" t="str">
        <f t="shared" ref="AB133" si="20">B133&amp;C133</f>
        <v>TantalumD Block Metals, LLC</v>
      </c>
    </row>
    <row r="134" spans="1:28" s="227" customFormat="1" ht="20.25">
      <c r="A134" s="301" t="s">
        <v>1392</v>
      </c>
      <c r="B134" s="408" t="s">
        <v>1127</v>
      </c>
      <c r="C134" s="409" t="s">
        <v>2168</v>
      </c>
      <c r="D134" s="410"/>
      <c r="E134" s="408" t="s">
        <v>15818</v>
      </c>
      <c r="F134" s="408" t="s">
        <v>1392</v>
      </c>
      <c r="G134" s="408" t="s">
        <v>13240</v>
      </c>
      <c r="H134" s="411"/>
      <c r="I134" s="411" t="s">
        <v>1732</v>
      </c>
      <c r="J134" s="411" t="s">
        <v>13623</v>
      </c>
      <c r="K134" s="224"/>
      <c r="L134" s="224"/>
      <c r="M134" s="224"/>
      <c r="N134" s="224"/>
      <c r="O134" s="224"/>
      <c r="P134" s="185"/>
      <c r="Q134" s="225"/>
      <c r="R134" s="182" t="str">
        <f ca="1">IF(ISERROR($V134),"",OFFSET('Smelter Look-up'!$C$4,$V134-4,0)&amp;"")</f>
        <v>FIR Metals &amp; Resource Ltd.</v>
      </c>
      <c r="S134" s="181" t="str">
        <f t="shared" ref="S134:S165" ca="1" si="21">IF(B134="","",IF(ISERROR(MATCH($E134,CL,0)),"Unknown",INDIRECT("'C'!$A$"&amp;MATCH($E134,CL,0)+1)))</f>
        <v>CN</v>
      </c>
      <c r="T134" s="181" t="str">
        <f ca="1">IF(B134="","",IF(ISERROR(MATCH($J134,SorP!$B$1:$B$6279,0)),"",INDIRECT("'SorP'!$A$"&amp;MATCH($S134&amp;$J134,SorP!C:C,0))))</f>
        <v>CN-HN</v>
      </c>
      <c r="U134" s="201"/>
      <c r="V134" s="226">
        <f>IF(C134="",NA(),IF(OR(C134="Smelter not listed",C134="Smelter not yet identified"),MATCH($B134&amp;$D134,'Smelter Look-up'!$J:$J,0),MATCH($B134&amp;$C134,'Smelter Look-up'!$J:$J,0)))</f>
        <v>329</v>
      </c>
      <c r="X134" s="227">
        <f t="shared" ref="X134:X165" si="22">IF(AND(C134="Smelter not listed",OR(LEN(D134)=0,LEN(E134)=0)),1,0)</f>
        <v>0</v>
      </c>
      <c r="AB134" s="228" t="str">
        <f t="shared" ref="AB134:AB165" si="23">B134&amp;C134</f>
        <v>TantalumFIR Metals &amp; Resource Ltd.</v>
      </c>
    </row>
    <row r="135" spans="1:28" s="227" customFormat="1" ht="20.25">
      <c r="A135" s="301" t="s">
        <v>1394</v>
      </c>
      <c r="B135" s="408" t="s">
        <v>1127</v>
      </c>
      <c r="C135" s="409" t="s">
        <v>2169</v>
      </c>
      <c r="D135" s="410"/>
      <c r="E135" s="408" t="s">
        <v>15818</v>
      </c>
      <c r="F135" s="408" t="s">
        <v>1394</v>
      </c>
      <c r="G135" s="408" t="s">
        <v>13240</v>
      </c>
      <c r="H135" s="411"/>
      <c r="I135" s="411" t="s">
        <v>1720</v>
      </c>
      <c r="J135" s="411" t="s">
        <v>13619</v>
      </c>
      <c r="K135" s="224"/>
      <c r="L135" s="224"/>
      <c r="M135" s="224"/>
      <c r="N135" s="224"/>
      <c r="O135" s="224"/>
      <c r="P135" s="185"/>
      <c r="Q135" s="225"/>
      <c r="R135" s="182" t="str">
        <f ca="1">IF(ISERROR($V135),"",OFFSET('Smelter Look-up'!$C$4,$V135-4,0)&amp;"")</f>
        <v>Jiujiang Zhongao Tantalum &amp; Niobium Co., Ltd.</v>
      </c>
      <c r="S135" s="181" t="str">
        <f t="shared" ca="1" si="21"/>
        <v>CN</v>
      </c>
      <c r="T135" s="181" t="str">
        <f ca="1">IF(B135="","",IF(ISERROR(MATCH($J135,SorP!$B$1:$B$6279,0)),"",INDIRECT("'SorP'!$A$"&amp;MATCH($S135&amp;$J135,SorP!C:C,0))))</f>
        <v>CN-JX</v>
      </c>
      <c r="U135" s="201"/>
      <c r="V135" s="226">
        <f>IF(C135="",NA(),IF(OR(C135="Smelter not listed",C135="Smelter not yet identified"),MATCH($B135&amp;$D135,'Smelter Look-up'!$J:$J,0),MATCH($B135&amp;$C135,'Smelter Look-up'!$J:$J,0)))</f>
        <v>344</v>
      </c>
      <c r="X135" s="227">
        <f t="shared" si="22"/>
        <v>0</v>
      </c>
      <c r="AB135" s="228" t="str">
        <f t="shared" si="23"/>
        <v>TantalumJiujiang Zhongao Tantalum &amp; Niobium Co., Ltd.</v>
      </c>
    </row>
    <row r="136" spans="1:28" s="227" customFormat="1" ht="20.25">
      <c r="A136" s="301" t="s">
        <v>1395</v>
      </c>
      <c r="B136" s="408" t="s">
        <v>1127</v>
      </c>
      <c r="C136" s="409" t="s">
        <v>2170</v>
      </c>
      <c r="D136" s="410"/>
      <c r="E136" s="408" t="s">
        <v>15818</v>
      </c>
      <c r="F136" s="408" t="s">
        <v>1395</v>
      </c>
      <c r="G136" s="408" t="s">
        <v>13240</v>
      </c>
      <c r="H136" s="411"/>
      <c r="I136" s="411" t="s">
        <v>1743</v>
      </c>
      <c r="J136" s="411" t="s">
        <v>13624</v>
      </c>
      <c r="K136" s="224"/>
      <c r="L136" s="224"/>
      <c r="M136" s="224"/>
      <c r="N136" s="224"/>
      <c r="O136" s="224"/>
      <c r="P136" s="185"/>
      <c r="Q136" s="225"/>
      <c r="R136" s="182" t="str">
        <f ca="1">IF(ISERROR($V136),"",OFFSET('Smelter Look-up'!$C$4,$V136-4,0)&amp;"")</f>
        <v>XinXing HaoRong Electronic Material Co., Ltd.</v>
      </c>
      <c r="S136" s="181" t="str">
        <f t="shared" ca="1" si="21"/>
        <v>CN</v>
      </c>
      <c r="T136" s="181" t="str">
        <f ca="1">IF(B136="","",IF(ISERROR(MATCH($J136,SorP!$B$1:$B$6279,0)),"",INDIRECT("'SorP'!$A$"&amp;MATCH($S136&amp;$J136,SorP!C:C,0))))</f>
        <v>CN-GD</v>
      </c>
      <c r="U136" s="201"/>
      <c r="V136" s="226">
        <f>IF(C136="",NA(),IF(OR(C136="Smelter not listed",C136="Smelter not yet identified"),MATCH($B136&amp;$D136,'Smelter Look-up'!$J:$J,0),MATCH($B136&amp;$C136,'Smelter Look-up'!$J:$J,0)))</f>
        <v>381</v>
      </c>
      <c r="X136" s="227">
        <f t="shared" si="22"/>
        <v>0</v>
      </c>
      <c r="AB136" s="228" t="str">
        <f t="shared" si="23"/>
        <v>TantalumXinXing HaoRong Electronic Material Co., Ltd.</v>
      </c>
    </row>
    <row r="137" spans="1:28" s="227" customFormat="1" ht="20.25">
      <c r="A137" s="301" t="s">
        <v>1386</v>
      </c>
      <c r="B137" s="408" t="s">
        <v>1125</v>
      </c>
      <c r="C137" s="409" t="s">
        <v>2171</v>
      </c>
      <c r="D137" s="410"/>
      <c r="E137" s="408" t="s">
        <v>15827</v>
      </c>
      <c r="F137" s="408" t="s">
        <v>1386</v>
      </c>
      <c r="G137" s="408" t="s">
        <v>13240</v>
      </c>
      <c r="H137" s="411"/>
      <c r="I137" s="411" t="s">
        <v>1695</v>
      </c>
      <c r="J137" s="411" t="s">
        <v>15840</v>
      </c>
      <c r="K137" s="224"/>
      <c r="L137" s="224"/>
      <c r="M137" s="224"/>
      <c r="N137" s="224"/>
      <c r="O137" s="224"/>
      <c r="P137" s="185"/>
      <c r="Q137" s="225"/>
      <c r="R137" s="182" t="str">
        <f ca="1">IF(ISERROR($V137),"",OFFSET('Smelter Look-up'!$C$4,$V137-4,0)&amp;"")</f>
        <v>MMTC-PAMP India Pvt., Ltd.</v>
      </c>
      <c r="S137" s="181" t="str">
        <f t="shared" ca="1" si="21"/>
        <v>IN</v>
      </c>
      <c r="T137" s="181" t="str">
        <f ca="1">IF(B137="","",IF(ISERROR(MATCH($J137,SorP!$B$1:$B$6279,0)),"",INDIRECT("'SorP'!$A$"&amp;MATCH($S137&amp;$J137,SorP!C:C,0))))</f>
        <v/>
      </c>
      <c r="U137" s="201"/>
      <c r="V137" s="226">
        <f>IF(C137="",NA(),IF(OR(C137="Smelter not listed",C137="Smelter not yet identified"),MATCH($B137&amp;$D137,'Smelter Look-up'!$J:$J,0),MATCH($B137&amp;$C137,'Smelter Look-up'!$J:$J,0)))</f>
        <v>185</v>
      </c>
      <c r="X137" s="227">
        <f t="shared" si="22"/>
        <v>0</v>
      </c>
      <c r="AB137" s="228" t="str">
        <f t="shared" si="23"/>
        <v>GoldMMTC-PAMP India Pvt., Ltd.</v>
      </c>
    </row>
    <row r="138" spans="1:28" s="227" customFormat="1" ht="20.25">
      <c r="A138" s="301" t="s">
        <v>1384</v>
      </c>
      <c r="B138" s="408" t="s">
        <v>1125</v>
      </c>
      <c r="C138" s="409" t="s">
        <v>12706</v>
      </c>
      <c r="D138" s="410"/>
      <c r="E138" s="408" t="s">
        <v>15823</v>
      </c>
      <c r="F138" s="408" t="s">
        <v>1384</v>
      </c>
      <c r="G138" s="408" t="s">
        <v>13240</v>
      </c>
      <c r="H138" s="411"/>
      <c r="I138" s="411" t="s">
        <v>1697</v>
      </c>
      <c r="J138" s="411" t="s">
        <v>9494</v>
      </c>
      <c r="K138" s="224"/>
      <c r="L138" s="224"/>
      <c r="M138" s="224"/>
      <c r="N138" s="224"/>
      <c r="O138" s="224"/>
      <c r="P138" s="185"/>
      <c r="Q138" s="225"/>
      <c r="R138" s="182" t="str">
        <f ca="1">IF(ISERROR($V138),"",OFFSET('Smelter Look-up'!$C$4,$V138-4,0)&amp;"")</f>
        <v>KGHM Polska Miedz Spolka Akcyjna</v>
      </c>
      <c r="S138" s="181" t="str">
        <f t="shared" ca="1" si="21"/>
        <v>PL</v>
      </c>
      <c r="T138" s="181" t="str">
        <f ca="1">IF(B138="","",IF(ISERROR(MATCH($J138,SorP!$B$1:$B$6279,0)),"",INDIRECT("'SorP'!$A$"&amp;MATCH($S138&amp;$J138,SorP!C:C,0))))</f>
        <v>PL-02</v>
      </c>
      <c r="U138" s="201"/>
      <c r="V138" s="226">
        <f>IF(C138="",NA(),IF(OR(C138="Smelter not listed",C138="Smelter not yet identified"),MATCH($B138&amp;$D138,'Smelter Look-up'!$J:$J,0),MATCH($B138&amp;$C138,'Smelter Look-up'!$J:$J,0)))</f>
        <v>139</v>
      </c>
      <c r="X138" s="227">
        <f t="shared" si="22"/>
        <v>0</v>
      </c>
      <c r="AB138" s="228" t="str">
        <f t="shared" si="23"/>
        <v>GoldKGHM Polska Miedz Spolka Akcyjna</v>
      </c>
    </row>
    <row r="139" spans="1:28" s="227" customFormat="1" ht="20.25">
      <c r="A139" s="301" t="s">
        <v>1393</v>
      </c>
      <c r="B139" s="408" t="s">
        <v>1127</v>
      </c>
      <c r="C139" s="409" t="s">
        <v>2172</v>
      </c>
      <c r="D139" s="410"/>
      <c r="E139" s="408" t="s">
        <v>15818</v>
      </c>
      <c r="F139" s="408" t="s">
        <v>1393</v>
      </c>
      <c r="G139" s="408" t="s">
        <v>13240</v>
      </c>
      <c r="H139" s="411"/>
      <c r="I139" s="411" t="s">
        <v>1744</v>
      </c>
      <c r="J139" s="411" t="s">
        <v>13619</v>
      </c>
      <c r="K139" s="224"/>
      <c r="L139" s="224"/>
      <c r="M139" s="224"/>
      <c r="N139" s="224"/>
      <c r="O139" s="224"/>
      <c r="P139" s="185"/>
      <c r="Q139" s="225"/>
      <c r="R139" s="182" t="str">
        <f ca="1">IF(ISERROR($V139),"",OFFSET('Smelter Look-up'!$C$4,$V139-4,0)&amp;"")</f>
        <v>Jiangxi Dinghai Tantalum &amp; Niobium Co., Ltd.</v>
      </c>
      <c r="S139" s="181" t="str">
        <f t="shared" ca="1" si="21"/>
        <v>CN</v>
      </c>
      <c r="T139" s="181" t="str">
        <f ca="1">IF(B139="","",IF(ISERROR(MATCH($J139,SorP!$B$1:$B$6279,0)),"",INDIRECT("'SorP'!$A$"&amp;MATCH($S139&amp;$J139,SorP!C:C,0))))</f>
        <v>CN-JX</v>
      </c>
      <c r="U139" s="201"/>
      <c r="V139" s="226">
        <f>IF(C139="",NA(),IF(OR(C139="Smelter not listed",C139="Smelter not yet identified"),MATCH($B139&amp;$D139,'Smelter Look-up'!$J:$J,0),MATCH($B139&amp;$C139,'Smelter Look-up'!$J:$J,0)))</f>
        <v>339</v>
      </c>
      <c r="X139" s="227">
        <f t="shared" si="22"/>
        <v>0</v>
      </c>
      <c r="AB139" s="228" t="str">
        <f t="shared" si="23"/>
        <v>TantalumJiangxi Dinghai Tantalum &amp; Niobium Co., Ltd.</v>
      </c>
    </row>
    <row r="140" spans="1:28" s="227" customFormat="1" ht="20.25">
      <c r="A140" s="301" t="s">
        <v>1397</v>
      </c>
      <c r="B140" s="408" t="s">
        <v>1126</v>
      </c>
      <c r="C140" s="409" t="s">
        <v>1396</v>
      </c>
      <c r="D140" s="410"/>
      <c r="E140" s="408" t="s">
        <v>15815</v>
      </c>
      <c r="F140" s="408" t="s">
        <v>1397</v>
      </c>
      <c r="G140" s="408" t="s">
        <v>13240</v>
      </c>
      <c r="H140" s="411"/>
      <c r="I140" s="411" t="s">
        <v>12942</v>
      </c>
      <c r="J140" s="411" t="s">
        <v>9451</v>
      </c>
      <c r="K140" s="224"/>
      <c r="L140" s="224"/>
      <c r="M140" s="224"/>
      <c r="N140" s="224"/>
      <c r="O140" s="224"/>
      <c r="P140" s="185"/>
      <c r="Q140" s="225"/>
      <c r="R140" s="182" t="str">
        <f ca="1">IF(ISERROR($V140),"",OFFSET('Smelter Look-up'!$C$4,$V140-4,0)&amp;"")</f>
        <v>O.M. Manufacturing Philippines, Inc.</v>
      </c>
      <c r="S140" s="181" t="str">
        <f t="shared" ca="1" si="21"/>
        <v>PH</v>
      </c>
      <c r="T140" s="181" t="str">
        <f ca="1">IF(B140="","",IF(ISERROR(MATCH($J140,SorP!$B$1:$B$6279,0)),"",INDIRECT("'SorP'!$A$"&amp;MATCH($S140&amp;$J140,SorP!C:C,0))))</f>
        <v>PH-CAV</v>
      </c>
      <c r="U140" s="201"/>
      <c r="V140" s="226">
        <f>IF(C140="",NA(),IF(OR(C140="Smelter not listed",C140="Smelter not yet identified"),MATCH($B140&amp;$D140,'Smelter Look-up'!$J:$J,0),MATCH($B140&amp;$C140,'Smelter Look-up'!$J:$J,0)))</f>
        <v>480</v>
      </c>
      <c r="X140" s="227">
        <f t="shared" si="22"/>
        <v>0</v>
      </c>
      <c r="AB140" s="228" t="str">
        <f t="shared" si="23"/>
        <v>TinO.M. Manufacturing Philippines, Inc.</v>
      </c>
    </row>
    <row r="141" spans="1:28" s="227" customFormat="1" ht="20.25">
      <c r="A141" s="301" t="s">
        <v>1419</v>
      </c>
      <c r="B141" s="408" t="s">
        <v>1127</v>
      </c>
      <c r="C141" s="409" t="s">
        <v>15084</v>
      </c>
      <c r="D141" s="410"/>
      <c r="E141" s="408" t="s">
        <v>15816</v>
      </c>
      <c r="F141" s="408" t="s">
        <v>1419</v>
      </c>
      <c r="G141" s="408" t="s">
        <v>13240</v>
      </c>
      <c r="H141" s="411"/>
      <c r="I141" s="411" t="s">
        <v>1745</v>
      </c>
      <c r="J141" s="411" t="s">
        <v>1746</v>
      </c>
      <c r="K141" s="224"/>
      <c r="L141" s="224"/>
      <c r="M141" s="224"/>
      <c r="N141" s="224"/>
      <c r="O141" s="224"/>
      <c r="P141" s="185"/>
      <c r="Q141" s="225"/>
      <c r="R141" s="182" t="str">
        <f ca="1">IF(ISERROR($V141),"",OFFSET('Smelter Look-up'!$C$4,$V141-4,0)&amp;"")</f>
        <v>KEMET de Mexico</v>
      </c>
      <c r="S141" s="181" t="str">
        <f t="shared" ca="1" si="21"/>
        <v>MX</v>
      </c>
      <c r="T141" s="181" t="str">
        <f ca="1">IF(B141="","",IF(ISERROR(MATCH($J141,SorP!$B$1:$B$6279,0)),"",INDIRECT("'SorP'!$A$"&amp;MATCH($S141&amp;$J141,SorP!C:C,0))))</f>
        <v>MX-TAM</v>
      </c>
      <c r="U141" s="201"/>
      <c r="V141" s="226">
        <f>IF(C141="",NA(),IF(OR(C141="Smelter not listed",C141="Smelter not yet identified"),MATCH($B141&amp;$D141,'Smelter Look-up'!$J:$J,0),MATCH($B141&amp;$C141,'Smelter Look-up'!$J:$J,0)))</f>
        <v>346</v>
      </c>
      <c r="X141" s="227">
        <f t="shared" si="22"/>
        <v>0</v>
      </c>
      <c r="AB141" s="228" t="str">
        <f t="shared" si="23"/>
        <v>TantalumKEMET de Mexico</v>
      </c>
    </row>
    <row r="142" spans="1:28" s="227" customFormat="1" ht="20.25">
      <c r="A142" s="301" t="s">
        <v>1421</v>
      </c>
      <c r="B142" s="408" t="s">
        <v>1128</v>
      </c>
      <c r="C142" s="409" t="s">
        <v>2536</v>
      </c>
      <c r="D142" s="410"/>
      <c r="E142" s="408" t="s">
        <v>15809</v>
      </c>
      <c r="F142" s="408" t="s">
        <v>1421</v>
      </c>
      <c r="G142" s="408" t="s">
        <v>13240</v>
      </c>
      <c r="H142" s="411"/>
      <c r="I142" s="411" t="s">
        <v>1749</v>
      </c>
      <c r="J142" s="411" t="s">
        <v>4246</v>
      </c>
      <c r="K142" s="224"/>
      <c r="L142" s="224"/>
      <c r="M142" s="224"/>
      <c r="N142" s="224"/>
      <c r="O142" s="224"/>
      <c r="P142" s="185"/>
      <c r="Q142" s="225"/>
      <c r="R142" s="182" t="str">
        <f ca="1">IF(ISERROR($V142),"",OFFSET('Smelter Look-up'!$C$4,$V142-4,0)&amp;"")</f>
        <v>H.C. Starck Tungsten GmbH</v>
      </c>
      <c r="S142" s="181" t="str">
        <f t="shared" ca="1" si="21"/>
        <v>DE</v>
      </c>
      <c r="T142" s="181" t="str">
        <f ca="1">IF(B142="","",IF(ISERROR(MATCH($J142,SorP!$B$1:$B$6279,0)),"",INDIRECT("'SorP'!$A$"&amp;MATCH($S142&amp;$J142,SorP!C:C,0))))</f>
        <v>DE-NI</v>
      </c>
      <c r="U142" s="201"/>
      <c r="V142" s="226">
        <f>IF(C142="",NA(),IF(OR(C142="Smelter not listed",C142="Smelter not yet identified"),MATCH($B142&amp;$D142,'Smelter Look-up'!$J:$J,0),MATCH($B142&amp;$C142,'Smelter Look-up'!$J:$J,0)))</f>
        <v>589</v>
      </c>
      <c r="X142" s="227">
        <f t="shared" si="22"/>
        <v>0</v>
      </c>
      <c r="AB142" s="228" t="str">
        <f t="shared" si="23"/>
        <v>TungstenH.C. Starck Tungsten GmbH</v>
      </c>
    </row>
    <row r="143" spans="1:28" s="227" customFormat="1" ht="20.25">
      <c r="A143" s="301" t="s">
        <v>1422</v>
      </c>
      <c r="B143" s="408" t="s">
        <v>1128</v>
      </c>
      <c r="C143" s="409" t="s">
        <v>15082</v>
      </c>
      <c r="D143" s="410"/>
      <c r="E143" s="408" t="s">
        <v>15809</v>
      </c>
      <c r="F143" s="408" t="s">
        <v>1422</v>
      </c>
      <c r="G143" s="408" t="s">
        <v>13240</v>
      </c>
      <c r="H143" s="411"/>
      <c r="I143" s="411" t="s">
        <v>1750</v>
      </c>
      <c r="J143" s="411" t="s">
        <v>1543</v>
      </c>
      <c r="K143" s="224"/>
      <c r="L143" s="224"/>
      <c r="M143" s="224"/>
      <c r="N143" s="224"/>
      <c r="O143" s="224"/>
      <c r="P143" s="185"/>
      <c r="Q143" s="225"/>
      <c r="R143" s="182" t="str">
        <f ca="1">IF(ISERROR($V143),"",OFFSET('Smelter Look-up'!$C$4,$V143-4,0)&amp;"")</f>
        <v>TANIOBIS Smelting GmbH &amp; Co. KG</v>
      </c>
      <c r="S143" s="181" t="str">
        <f t="shared" ca="1" si="21"/>
        <v>DE</v>
      </c>
      <c r="T143" s="181" t="str">
        <f ca="1">IF(B143="","",IF(ISERROR(MATCH($J143,SorP!$B$1:$B$6279,0)),"",INDIRECT("'SorP'!$A$"&amp;MATCH($S143&amp;$J143,SorP!C:C,0))))</f>
        <v>DE-BW</v>
      </c>
      <c r="U143" s="201"/>
      <c r="V143" s="226">
        <f>IF(C143="",NA(),IF(OR(C143="Smelter not listed",C143="Smelter not yet identified"),MATCH($B143&amp;$D143,'Smelter Look-up'!$J:$J,0),MATCH($B143&amp;$C143,'Smelter Look-up'!$J:$J,0)))</f>
        <v>627</v>
      </c>
      <c r="X143" s="227">
        <f t="shared" si="22"/>
        <v>0</v>
      </c>
      <c r="AB143" s="228" t="str">
        <f t="shared" si="23"/>
        <v>TungstenTANIOBIS Smelting GmbH &amp; Co. KG</v>
      </c>
    </row>
    <row r="144" spans="1:28" s="227" customFormat="1" ht="20.25">
      <c r="A144" s="301" t="s">
        <v>1425</v>
      </c>
      <c r="B144" s="408" t="s">
        <v>1128</v>
      </c>
      <c r="C144" s="409" t="s">
        <v>15126</v>
      </c>
      <c r="D144" s="410"/>
      <c r="E144" s="408" t="s">
        <v>15836</v>
      </c>
      <c r="F144" s="408" t="s">
        <v>1425</v>
      </c>
      <c r="G144" s="408" t="s">
        <v>13240</v>
      </c>
      <c r="H144" s="411"/>
      <c r="I144" s="411" t="s">
        <v>1839</v>
      </c>
      <c r="J144" s="411" t="s">
        <v>12134</v>
      </c>
      <c r="K144" s="224"/>
      <c r="L144" s="224"/>
      <c r="M144" s="224"/>
      <c r="N144" s="224"/>
      <c r="O144" s="224"/>
      <c r="P144" s="185"/>
      <c r="Q144" s="225"/>
      <c r="R144" s="182" t="str">
        <f ca="1">IF(ISERROR($V144),"",OFFSET('Smelter Look-up'!$C$4,$V144-4,0)&amp;"")</f>
        <v>Masan High-Tech Materials</v>
      </c>
      <c r="S144" s="181" t="str">
        <f t="shared" ca="1" si="21"/>
        <v>VN</v>
      </c>
      <c r="T144" s="181" t="str">
        <f ca="1">IF(B144="","",IF(ISERROR(MATCH($J144,SorP!$B$1:$B$6279,0)),"",INDIRECT("'SorP'!$A$"&amp;MATCH($S144&amp;$J144,SorP!C:C,0))))</f>
        <v>VN-69</v>
      </c>
      <c r="U144" s="201"/>
      <c r="V144" s="226">
        <f>IF(C144="",NA(),IF(OR(C144="Smelter not listed",C144="Smelter not yet identified"),MATCH($B144&amp;$D144,'Smelter Look-up'!$J:$J,0),MATCH($B144&amp;$C144,'Smelter Look-up'!$J:$J,0)))</f>
        <v>616</v>
      </c>
      <c r="X144" s="227">
        <f t="shared" si="22"/>
        <v>0</v>
      </c>
      <c r="AB144" s="228" t="str">
        <f t="shared" si="23"/>
        <v>TungstenMasan High-Tech Materials</v>
      </c>
    </row>
    <row r="145" spans="1:28" s="227" customFormat="1" ht="20.25">
      <c r="A145" s="301" t="s">
        <v>1411</v>
      </c>
      <c r="B145" s="408" t="s">
        <v>1127</v>
      </c>
      <c r="C145" s="409" t="s">
        <v>15080</v>
      </c>
      <c r="D145" s="410"/>
      <c r="E145" s="408" t="s">
        <v>15831</v>
      </c>
      <c r="F145" s="408" t="s">
        <v>1411</v>
      </c>
      <c r="G145" s="408" t="s">
        <v>13240</v>
      </c>
      <c r="H145" s="411"/>
      <c r="I145" s="411" t="s">
        <v>1747</v>
      </c>
      <c r="J145" s="411" t="s">
        <v>1748</v>
      </c>
      <c r="K145" s="224"/>
      <c r="L145" s="224"/>
      <c r="M145" s="224"/>
      <c r="N145" s="224"/>
      <c r="O145" s="224"/>
      <c r="P145" s="185"/>
      <c r="Q145" s="225"/>
      <c r="R145" s="182" t="str">
        <f ca="1">IF(ISERROR($V145),"",OFFSET('Smelter Look-up'!$C$4,$V145-4,0)&amp;"")</f>
        <v>TANIOBIS Co., Ltd.</v>
      </c>
      <c r="S145" s="181" t="str">
        <f t="shared" ca="1" si="21"/>
        <v>TH</v>
      </c>
      <c r="T145" s="181" t="str">
        <f ca="1">IF(B145="","",IF(ISERROR(MATCH($J145,SorP!$B$1:$B$6279,0)),"",INDIRECT("'SorP'!$A$"&amp;MATCH($S145&amp;$J145,SorP!C:C,0))))</f>
        <v>TH-21</v>
      </c>
      <c r="U145" s="201"/>
      <c r="V145" s="226">
        <f>IF(C145="",NA(),IF(OR(C145="Smelter not listed",C145="Smelter not yet identified"),MATCH($B145&amp;$D145,'Smelter Look-up'!$J:$J,0),MATCH($B145&amp;$C145,'Smelter Look-up'!$J:$J,0)))</f>
        <v>373</v>
      </c>
      <c r="X145" s="227">
        <f t="shared" si="22"/>
        <v>0</v>
      </c>
      <c r="AB145" s="228" t="str">
        <f t="shared" si="23"/>
        <v>TantalumTANIOBIS Co., Ltd.</v>
      </c>
    </row>
    <row r="146" spans="1:28" s="227" customFormat="1" ht="20.25">
      <c r="A146" s="301" t="s">
        <v>1412</v>
      </c>
      <c r="B146" s="408" t="s">
        <v>1127</v>
      </c>
      <c r="C146" s="409" t="s">
        <v>15083</v>
      </c>
      <c r="D146" s="410"/>
      <c r="E146" s="408" t="s">
        <v>15809</v>
      </c>
      <c r="F146" s="408" t="s">
        <v>1412</v>
      </c>
      <c r="G146" s="408" t="s">
        <v>13240</v>
      </c>
      <c r="H146" s="411"/>
      <c r="I146" s="411" t="s">
        <v>1749</v>
      </c>
      <c r="J146" s="411" t="s">
        <v>4246</v>
      </c>
      <c r="K146" s="224"/>
      <c r="L146" s="224"/>
      <c r="M146" s="224"/>
      <c r="N146" s="224"/>
      <c r="O146" s="224"/>
      <c r="P146" s="185"/>
      <c r="Q146" s="225"/>
      <c r="R146" s="182" t="str">
        <f ca="1">IF(ISERROR($V146),"",OFFSET('Smelter Look-up'!$C$4,$V146-4,0)&amp;"")</f>
        <v>TANIOBIS GmbH</v>
      </c>
      <c r="S146" s="181" t="str">
        <f t="shared" ca="1" si="21"/>
        <v>DE</v>
      </c>
      <c r="T146" s="181" t="str">
        <f ca="1">IF(B146="","",IF(ISERROR(MATCH($J146,SorP!$B$1:$B$6279,0)),"",INDIRECT("'SorP'!$A$"&amp;MATCH($S146&amp;$J146,SorP!C:C,0))))</f>
        <v>DE-NI</v>
      </c>
      <c r="U146" s="201"/>
      <c r="V146" s="226">
        <f>IF(C146="",NA(),IF(OR(C146="Smelter not listed",C146="Smelter not yet identified"),MATCH($B146&amp;$D146,'Smelter Look-up'!$J:$J,0),MATCH($B146&amp;$C146,'Smelter Look-up'!$J:$J,0)))</f>
        <v>374</v>
      </c>
      <c r="X146" s="227">
        <f t="shared" si="22"/>
        <v>0</v>
      </c>
      <c r="AB146" s="228" t="str">
        <f t="shared" si="23"/>
        <v>TantalumTANIOBIS GmbH</v>
      </c>
    </row>
    <row r="147" spans="1:28" s="227" customFormat="1" ht="20.25">
      <c r="A147" s="301" t="s">
        <v>1416</v>
      </c>
      <c r="B147" s="408" t="s">
        <v>1127</v>
      </c>
      <c r="C147" s="409" t="s">
        <v>15081</v>
      </c>
      <c r="D147" s="410"/>
      <c r="E147" s="408" t="s">
        <v>15808</v>
      </c>
      <c r="F147" s="408" t="s">
        <v>1416</v>
      </c>
      <c r="G147" s="408" t="s">
        <v>13240</v>
      </c>
      <c r="H147" s="411"/>
      <c r="I147" s="411" t="s">
        <v>1752</v>
      </c>
      <c r="J147" s="411" t="s">
        <v>1753</v>
      </c>
      <c r="K147" s="224"/>
      <c r="L147" s="224"/>
      <c r="M147" s="224"/>
      <c r="N147" s="224"/>
      <c r="O147" s="224"/>
      <c r="P147" s="185"/>
      <c r="Q147" s="225"/>
      <c r="R147" s="182" t="str">
        <f ca="1">IF(ISERROR($V147),"",OFFSET('Smelter Look-up'!$C$4,$V147-4,0)&amp;"")</f>
        <v>TANIOBIS Japan Co., Ltd.</v>
      </c>
      <c r="S147" s="181" t="str">
        <f t="shared" ca="1" si="21"/>
        <v>JP</v>
      </c>
      <c r="T147" s="181" t="str">
        <f ca="1">IF(B147="","",IF(ISERROR(MATCH($J147,SorP!$B$1:$B$6279,0)),"",INDIRECT("'SorP'!$A$"&amp;MATCH($S147&amp;$J147,SorP!C:C,0))))</f>
        <v>JP-08</v>
      </c>
      <c r="U147" s="201"/>
      <c r="V147" s="226">
        <f>IF(C147="",NA(),IF(OR(C147="Smelter not listed",C147="Smelter not yet identified"),MATCH($B147&amp;$D147,'Smelter Look-up'!$J:$J,0),MATCH($B147&amp;$C147,'Smelter Look-up'!$J:$J,0)))</f>
        <v>375</v>
      </c>
      <c r="X147" s="227">
        <f t="shared" si="22"/>
        <v>0</v>
      </c>
      <c r="AB147" s="228" t="str">
        <f t="shared" si="23"/>
        <v>TantalumTANIOBIS Japan Co., Ltd.</v>
      </c>
    </row>
    <row r="148" spans="1:28" s="227" customFormat="1" ht="20.25">
      <c r="A148" s="301" t="s">
        <v>1417</v>
      </c>
      <c r="B148" s="408" t="s">
        <v>1127</v>
      </c>
      <c r="C148" s="409" t="s">
        <v>15082</v>
      </c>
      <c r="D148" s="410"/>
      <c r="E148" s="408" t="s">
        <v>15809</v>
      </c>
      <c r="F148" s="408" t="s">
        <v>1417</v>
      </c>
      <c r="G148" s="408" t="s">
        <v>13240</v>
      </c>
      <c r="H148" s="411"/>
      <c r="I148" s="411" t="s">
        <v>1750</v>
      </c>
      <c r="J148" s="411" t="s">
        <v>1543</v>
      </c>
      <c r="K148" s="224"/>
      <c r="L148" s="224"/>
      <c r="M148" s="224"/>
      <c r="N148" s="224"/>
      <c r="O148" s="224"/>
      <c r="P148" s="185"/>
      <c r="Q148" s="225"/>
      <c r="R148" s="182" t="str">
        <f ca="1">IF(ISERROR($V148),"",OFFSET('Smelter Look-up'!$C$4,$V148-4,0)&amp;"")</f>
        <v>TANIOBIS Smelting GmbH &amp; Co. KG</v>
      </c>
      <c r="S148" s="181" t="str">
        <f t="shared" ca="1" si="21"/>
        <v>DE</v>
      </c>
      <c r="T148" s="181" t="str">
        <f ca="1">IF(B148="","",IF(ISERROR(MATCH($J148,SorP!$B$1:$B$6279,0)),"",INDIRECT("'SorP'!$A$"&amp;MATCH($S148&amp;$J148,SorP!C:C,0))))</f>
        <v>DE-BW</v>
      </c>
      <c r="U148" s="201"/>
      <c r="V148" s="226">
        <f>IF(C148="",NA(),IF(OR(C148="Smelter not listed",C148="Smelter not yet identified"),MATCH($B148&amp;$D148,'Smelter Look-up'!$J:$J,0),MATCH($B148&amp;$C148,'Smelter Look-up'!$J:$J,0)))</f>
        <v>376</v>
      </c>
      <c r="X148" s="227">
        <f t="shared" si="22"/>
        <v>0</v>
      </c>
      <c r="AB148" s="228" t="str">
        <f t="shared" si="23"/>
        <v>TantalumTANIOBIS Smelting GmbH &amp; Co. KG</v>
      </c>
    </row>
    <row r="149" spans="1:28" s="227" customFormat="1" ht="25.5">
      <c r="A149" s="301" t="s">
        <v>1424</v>
      </c>
      <c r="B149" s="408" t="s">
        <v>1128</v>
      </c>
      <c r="C149" s="409" t="s">
        <v>1423</v>
      </c>
      <c r="D149" s="410"/>
      <c r="E149" s="408" t="s">
        <v>15818</v>
      </c>
      <c r="F149" s="408" t="s">
        <v>1424</v>
      </c>
      <c r="G149" s="408" t="s">
        <v>13240</v>
      </c>
      <c r="H149" s="411"/>
      <c r="I149" s="411" t="s">
        <v>1773</v>
      </c>
      <c r="J149" s="411" t="s">
        <v>13619</v>
      </c>
      <c r="K149" s="224"/>
      <c r="L149" s="224"/>
      <c r="M149" s="224"/>
      <c r="N149" s="224"/>
      <c r="O149" s="224"/>
      <c r="P149" s="185"/>
      <c r="Q149" s="225"/>
      <c r="R149" s="182" t="str">
        <f ca="1">IF(ISERROR($V149),"",OFFSET('Smelter Look-up'!$C$4,$V149-4,0)&amp;"")</f>
        <v>Jiangwu H.C. Starck Tungsten Products Co., Ltd.</v>
      </c>
      <c r="S149" s="181" t="str">
        <f t="shared" ca="1" si="21"/>
        <v>CN</v>
      </c>
      <c r="T149" s="181" t="str">
        <f ca="1">IF(B149="","",IF(ISERROR(MATCH($J149,SorP!$B$1:$B$6279,0)),"",INDIRECT("'SorP'!$A$"&amp;MATCH($S149&amp;$J149,SorP!C:C,0))))</f>
        <v>CN-JX</v>
      </c>
      <c r="U149" s="201"/>
      <c r="V149" s="226">
        <f>IF(C149="",NA(),IF(OR(C149="Smelter not listed",C149="Smelter not yet identified"),MATCH($B149&amp;$D149,'Smelter Look-up'!$J:$J,0),MATCH($B149&amp;$C149,'Smelter Look-up'!$J:$J,0)))</f>
        <v>601</v>
      </c>
      <c r="X149" s="227">
        <f t="shared" si="22"/>
        <v>0</v>
      </c>
      <c r="AB149" s="228" t="str">
        <f t="shared" si="23"/>
        <v>TungstenJiangwu H.C. Starck Tungsten Products Co., Ltd.</v>
      </c>
    </row>
    <row r="150" spans="1:28" s="227" customFormat="1" ht="25.5">
      <c r="A150" s="301" t="s">
        <v>1409</v>
      </c>
      <c r="B150" s="408" t="s">
        <v>1127</v>
      </c>
      <c r="C150" s="409" t="s">
        <v>1408</v>
      </c>
      <c r="D150" s="410"/>
      <c r="E150" s="408" t="s">
        <v>15814</v>
      </c>
      <c r="F150" s="408" t="s">
        <v>1409</v>
      </c>
      <c r="G150" s="408" t="s">
        <v>13240</v>
      </c>
      <c r="H150" s="411"/>
      <c r="I150" s="411" t="s">
        <v>1754</v>
      </c>
      <c r="J150" s="411" t="s">
        <v>1737</v>
      </c>
      <c r="K150" s="224"/>
      <c r="L150" s="224"/>
      <c r="M150" s="224"/>
      <c r="N150" s="224"/>
      <c r="O150" s="224"/>
      <c r="P150" s="185"/>
      <c r="Q150" s="225"/>
      <c r="R150" s="182" t="str">
        <f ca="1">IF(ISERROR($V150),"",OFFSET('Smelter Look-up'!$C$4,$V150-4,0)&amp;"")</f>
        <v>Global Advanced Metals Boyertown</v>
      </c>
      <c r="S150" s="181" t="str">
        <f t="shared" ca="1" si="21"/>
        <v>US</v>
      </c>
      <c r="T150" s="181" t="str">
        <f ca="1">IF(B150="","",IF(ISERROR(MATCH($J150,SorP!$B$1:$B$6279,0)),"",INDIRECT("'SorP'!$A$"&amp;MATCH($S150&amp;$J150,SorP!C:C,0))))</f>
        <v>US-PA</v>
      </c>
      <c r="U150" s="201"/>
      <c r="V150" s="226">
        <f>IF(C150="",NA(),IF(OR(C150="Smelter not listed",C150="Smelter not yet identified"),MATCH($B150&amp;$D150,'Smelter Look-up'!$J:$J,0),MATCH($B150&amp;$C150,'Smelter Look-up'!$J:$J,0)))</f>
        <v>331</v>
      </c>
      <c r="X150" s="227">
        <f t="shared" si="22"/>
        <v>0</v>
      </c>
      <c r="AB150" s="228" t="str">
        <f t="shared" si="23"/>
        <v>TantalumGlobal Advanced Metals Boyertown</v>
      </c>
    </row>
    <row r="151" spans="1:28" s="227" customFormat="1" ht="20.25">
      <c r="A151" s="301" t="s">
        <v>1407</v>
      </c>
      <c r="B151" s="408" t="s">
        <v>1127</v>
      </c>
      <c r="C151" s="409" t="s">
        <v>1406</v>
      </c>
      <c r="D151" s="410"/>
      <c r="E151" s="408" t="s">
        <v>15808</v>
      </c>
      <c r="F151" s="408" t="s">
        <v>1407</v>
      </c>
      <c r="G151" s="408" t="s">
        <v>13240</v>
      </c>
      <c r="H151" s="411"/>
      <c r="I151" s="411" t="s">
        <v>1755</v>
      </c>
      <c r="J151" s="411" t="s">
        <v>1554</v>
      </c>
      <c r="K151" s="224"/>
      <c r="L151" s="224"/>
      <c r="M151" s="224"/>
      <c r="N151" s="224"/>
      <c r="O151" s="224"/>
      <c r="P151" s="185"/>
      <c r="Q151" s="225"/>
      <c r="R151" s="182" t="str">
        <f ca="1">IF(ISERROR($V151),"",OFFSET('Smelter Look-up'!$C$4,$V151-4,0)&amp;"")</f>
        <v>Global Advanced Metals Aizu</v>
      </c>
      <c r="S151" s="181" t="str">
        <f t="shared" ca="1" si="21"/>
        <v>JP</v>
      </c>
      <c r="T151" s="181" t="str">
        <f ca="1">IF(B151="","",IF(ISERROR(MATCH($J151,SorP!$B$1:$B$6279,0)),"",INDIRECT("'SorP'!$A$"&amp;MATCH($S151&amp;$J151,SorP!C:C,0))))</f>
        <v>JP-07</v>
      </c>
      <c r="U151" s="201"/>
      <c r="V151" s="226">
        <f>IF(C151="",NA(),IF(OR(C151="Smelter not listed",C151="Smelter not yet identified"),MATCH($B151&amp;$D151,'Smelter Look-up'!$J:$J,0),MATCH($B151&amp;$C151,'Smelter Look-up'!$J:$J,0)))</f>
        <v>330</v>
      </c>
      <c r="X151" s="227">
        <f t="shared" si="22"/>
        <v>0</v>
      </c>
      <c r="AB151" s="228" t="str">
        <f t="shared" si="23"/>
        <v>TantalumGlobal Advanced Metals Aizu</v>
      </c>
    </row>
    <row r="152" spans="1:28" s="227" customFormat="1" ht="20.25">
      <c r="A152" s="301" t="s">
        <v>1712</v>
      </c>
      <c r="B152" s="408" t="s">
        <v>1125</v>
      </c>
      <c r="C152" s="409" t="s">
        <v>2215</v>
      </c>
      <c r="D152" s="410"/>
      <c r="E152" s="408" t="s">
        <v>15819</v>
      </c>
      <c r="F152" s="408" t="s">
        <v>1712</v>
      </c>
      <c r="G152" s="408" t="s">
        <v>13240</v>
      </c>
      <c r="H152" s="411"/>
      <c r="I152" s="411" t="s">
        <v>1713</v>
      </c>
      <c r="J152" s="411" t="s">
        <v>6470</v>
      </c>
      <c r="K152" s="224"/>
      <c r="L152" s="224"/>
      <c r="M152" s="224"/>
      <c r="N152" s="224"/>
      <c r="O152" s="224"/>
      <c r="P152" s="185"/>
      <c r="Q152" s="225"/>
      <c r="R152" s="182" t="str">
        <f ca="1">IF(ISERROR($V152),"",OFFSET('Smelter Look-up'!$C$4,$V152-4,0)&amp;"")</f>
        <v>T.C.A S.p.A</v>
      </c>
      <c r="S152" s="181" t="str">
        <f t="shared" ca="1" si="21"/>
        <v>IT</v>
      </c>
      <c r="T152" s="181" t="str">
        <f ca="1">IF(B152="","",IF(ISERROR(MATCH($J152,SorP!$B$1:$B$6279,0)),"",INDIRECT("'SorP'!$A$"&amp;MATCH($S152&amp;$J152,SorP!C:C,0))))</f>
        <v>IT-52</v>
      </c>
      <c r="U152" s="201"/>
      <c r="V152" s="226">
        <f>IF(C152="",NA(),IF(OR(C152="Smelter not listed",C152="Smelter not yet identified"),MATCH($B152&amp;$D152,'Smelter Look-up'!$J:$J,0),MATCH($B152&amp;$C152,'Smelter Look-up'!$J:$J,0)))</f>
        <v>269</v>
      </c>
      <c r="X152" s="227">
        <f t="shared" si="22"/>
        <v>0</v>
      </c>
      <c r="AB152" s="228" t="str">
        <f t="shared" si="23"/>
        <v>GoldT.C.A S.p.A</v>
      </c>
    </row>
    <row r="153" spans="1:28" s="227" customFormat="1" ht="20.25">
      <c r="A153" s="301" t="s">
        <v>2316</v>
      </c>
      <c r="B153" s="408" t="s">
        <v>1125</v>
      </c>
      <c r="C153" s="409" t="s">
        <v>13792</v>
      </c>
      <c r="D153" s="410"/>
      <c r="E153" s="408" t="s">
        <v>15841</v>
      </c>
      <c r="F153" s="408" t="s">
        <v>2316</v>
      </c>
      <c r="G153" s="408" t="s">
        <v>13240</v>
      </c>
      <c r="H153" s="411"/>
      <c r="I153" s="411" t="s">
        <v>2349</v>
      </c>
      <c r="J153" s="411" t="s">
        <v>8897</v>
      </c>
      <c r="K153" s="224"/>
      <c r="L153" s="224"/>
      <c r="M153" s="224"/>
      <c r="N153" s="224"/>
      <c r="O153" s="224"/>
      <c r="P153" s="185"/>
      <c r="Q153" s="225"/>
      <c r="R153" s="182" t="str">
        <f ca="1">IF(ISERROR($V153),"",OFFSET('Smelter Look-up'!$C$4,$V153-4,0)&amp;"")</f>
        <v>REMONDIS PMR B.V.</v>
      </c>
      <c r="S153" s="181" t="str">
        <f t="shared" ca="1" si="21"/>
        <v>NL</v>
      </c>
      <c r="T153" s="181" t="str">
        <f ca="1">IF(B153="","",IF(ISERROR(MATCH($J153,SorP!$B$1:$B$6279,0)),"",INDIRECT("'SorP'!$A$"&amp;MATCH($S153&amp;$J153,SorP!C:C,0))))</f>
        <v>NL-NB</v>
      </c>
      <c r="U153" s="201"/>
      <c r="V153" s="226">
        <f>IF(C153="",NA(),IF(OR(C153="Smelter not listed",C153="Smelter not yet identified"),MATCH($B153&amp;$D153,'Smelter Look-up'!$J:$J,0),MATCH($B153&amp;$C153,'Smelter Look-up'!$J:$J,0)))</f>
        <v>219</v>
      </c>
      <c r="X153" s="227">
        <f t="shared" si="22"/>
        <v>0</v>
      </c>
      <c r="AB153" s="228" t="str">
        <f t="shared" si="23"/>
        <v>GoldREMONDIS PMR B.V.</v>
      </c>
    </row>
    <row r="154" spans="1:28" s="227" customFormat="1" ht="25.5">
      <c r="A154" s="301" t="s">
        <v>1841</v>
      </c>
      <c r="B154" s="408" t="s">
        <v>1128</v>
      </c>
      <c r="C154" s="409" t="s">
        <v>1840</v>
      </c>
      <c r="D154" s="410"/>
      <c r="E154" s="408" t="s">
        <v>15814</v>
      </c>
      <c r="F154" s="408" t="s">
        <v>1841</v>
      </c>
      <c r="G154" s="408" t="s">
        <v>13240</v>
      </c>
      <c r="H154" s="411"/>
      <c r="I154" s="411" t="s">
        <v>1842</v>
      </c>
      <c r="J154" s="411" t="s">
        <v>1617</v>
      </c>
      <c r="K154" s="224"/>
      <c r="L154" s="224"/>
      <c r="M154" s="224"/>
      <c r="N154" s="224"/>
      <c r="O154" s="224"/>
      <c r="P154" s="185"/>
      <c r="Q154" s="225"/>
      <c r="R154" s="182" t="str">
        <f ca="1">IF(ISERROR($V154),"",OFFSET('Smelter Look-up'!$C$4,$V154-4,0)&amp;"")</f>
        <v>Niagara Refining LLC</v>
      </c>
      <c r="S154" s="181" t="str">
        <f t="shared" ca="1" si="21"/>
        <v>US</v>
      </c>
      <c r="T154" s="181" t="str">
        <f ca="1">IF(B154="","",IF(ISERROR(MATCH($J154,SorP!$B$1:$B$6279,0)),"",INDIRECT("'SorP'!$A$"&amp;MATCH($S154&amp;$J154,SorP!C:C,0))))</f>
        <v>US-NY</v>
      </c>
      <c r="U154" s="201"/>
      <c r="V154" s="226">
        <f>IF(C154="",NA(),IF(OR(C154="Smelter not listed",C154="Smelter not yet identified"),MATCH($B154&amp;$D154,'Smelter Look-up'!$J:$J,0),MATCH($B154&amp;$C154,'Smelter Look-up'!$J:$J,0)))</f>
        <v>621</v>
      </c>
      <c r="X154" s="227">
        <f t="shared" si="22"/>
        <v>0</v>
      </c>
      <c r="AB154" s="228" t="str">
        <f t="shared" si="23"/>
        <v>TungstenNiagara Refining LLC</v>
      </c>
    </row>
    <row r="155" spans="1:28" s="227" customFormat="1" ht="20.25">
      <c r="A155" s="301" t="s">
        <v>1714</v>
      </c>
      <c r="B155" s="408" t="s">
        <v>1125</v>
      </c>
      <c r="C155" s="409" t="s">
        <v>2302</v>
      </c>
      <c r="D155" s="410"/>
      <c r="E155" s="408" t="s">
        <v>15821</v>
      </c>
      <c r="F155" s="408" t="s">
        <v>1714</v>
      </c>
      <c r="G155" s="408" t="s">
        <v>13240</v>
      </c>
      <c r="H155" s="411"/>
      <c r="I155" s="411" t="s">
        <v>1715</v>
      </c>
      <c r="J155" s="411" t="s">
        <v>12877</v>
      </c>
      <c r="K155" s="224"/>
      <c r="L155" s="224"/>
      <c r="M155" s="224"/>
      <c r="N155" s="224"/>
      <c r="O155" s="224"/>
      <c r="P155" s="185"/>
      <c r="Q155" s="225"/>
      <c r="R155" s="182" t="str">
        <f ca="1">IF(ISERROR($V155),"",OFFSET('Smelter Look-up'!$C$4,$V155-4,0)&amp;"")</f>
        <v>Korea Zinc Co., Ltd.</v>
      </c>
      <c r="S155" s="181" t="str">
        <f t="shared" ca="1" si="21"/>
        <v>KR</v>
      </c>
      <c r="T155" s="181" t="str">
        <f ca="1">IF(B155="","",IF(ISERROR(MATCH($J155,SorP!$B$1:$B$6279,0)),"",INDIRECT("'SorP'!$A$"&amp;MATCH($S155&amp;$J155,SorP!C:C,0))))</f>
        <v>KR-11</v>
      </c>
      <c r="U155" s="201"/>
      <c r="V155" s="226">
        <f>IF(C155="",NA(),IF(OR(C155="Smelter not listed",C155="Smelter not yet identified"),MATCH($B155&amp;$D155,'Smelter Look-up'!$J:$J,0),MATCH($B155&amp;$C155,'Smelter Look-up'!$J:$J,0)))</f>
        <v>144</v>
      </c>
      <c r="X155" s="227">
        <f t="shared" si="22"/>
        <v>0</v>
      </c>
      <c r="AB155" s="228" t="str">
        <f t="shared" si="23"/>
        <v>GoldKorea Zinc Co., Ltd.</v>
      </c>
    </row>
    <row r="156" spans="1:28" s="227" customFormat="1" ht="20.25">
      <c r="A156" s="301" t="s">
        <v>2328</v>
      </c>
      <c r="B156" s="408" t="s">
        <v>1125</v>
      </c>
      <c r="C156" s="409" t="s">
        <v>2327</v>
      </c>
      <c r="D156" s="410"/>
      <c r="E156" s="408" t="s">
        <v>15825</v>
      </c>
      <c r="F156" s="408" t="s">
        <v>2328</v>
      </c>
      <c r="G156" s="408" t="s">
        <v>13240</v>
      </c>
      <c r="H156" s="411"/>
      <c r="I156" s="411" t="s">
        <v>2329</v>
      </c>
      <c r="J156" s="411" t="s">
        <v>2330</v>
      </c>
      <c r="K156" s="224"/>
      <c r="L156" s="224"/>
      <c r="M156" s="224"/>
      <c r="N156" s="224"/>
      <c r="O156" s="224"/>
      <c r="P156" s="185"/>
      <c r="Q156" s="225"/>
      <c r="R156" s="182" t="str">
        <f ca="1">IF(ISERROR($V156),"",OFFSET('Smelter Look-up'!$C$4,$V156-4,0)&amp;"")</f>
        <v>TOO Tau-Ken-Altyn</v>
      </c>
      <c r="S156" s="181" t="str">
        <f t="shared" ca="1" si="21"/>
        <v>KZ</v>
      </c>
      <c r="T156" s="181" t="str">
        <f ca="1">IF(B156="","",IF(ISERROR(MATCH($J156,SorP!$B$1:$B$6279,0)),"",INDIRECT("'SorP'!$A$"&amp;MATCH($S156&amp;$J156,SorP!C:C,0))))</f>
        <v>KZ-ALA</v>
      </c>
      <c r="U156" s="201"/>
      <c r="V156" s="226">
        <f>IF(C156="",NA(),IF(OR(C156="Smelter not listed",C156="Smelter not yet identified"),MATCH($B156&amp;$D156,'Smelter Look-up'!$J:$J,0),MATCH($B156&amp;$C156,'Smelter Look-up'!$J:$J,0)))</f>
        <v>287</v>
      </c>
      <c r="X156" s="227">
        <f t="shared" si="22"/>
        <v>0</v>
      </c>
      <c r="AB156" s="228" t="str">
        <f t="shared" si="23"/>
        <v>GoldTOO Tau-Ken-Altyn</v>
      </c>
    </row>
    <row r="157" spans="1:28" s="227" customFormat="1" ht="20.25">
      <c r="A157" s="301" t="s">
        <v>13812</v>
      </c>
      <c r="B157" s="408" t="s">
        <v>1128</v>
      </c>
      <c r="C157" s="409" t="s">
        <v>15123</v>
      </c>
      <c r="D157" s="410"/>
      <c r="E157" s="408" t="s">
        <v>15818</v>
      </c>
      <c r="F157" s="408" t="s">
        <v>13812</v>
      </c>
      <c r="G157" s="408" t="s">
        <v>13240</v>
      </c>
      <c r="H157" s="411"/>
      <c r="I157" s="411" t="s">
        <v>1615</v>
      </c>
      <c r="J157" s="411" t="s">
        <v>13621</v>
      </c>
      <c r="K157" s="224"/>
      <c r="L157" s="224"/>
      <c r="M157" s="224"/>
      <c r="N157" s="224"/>
      <c r="O157" s="224"/>
      <c r="P157" s="185"/>
      <c r="Q157" s="225"/>
      <c r="R157" s="182" t="str">
        <f ca="1">IF(ISERROR($V157),"",OFFSET('Smelter Look-up'!$C$4,$V157-4,0)&amp;"")</f>
        <v>China Molybdenum Tungsten Co., Ltd.</v>
      </c>
      <c r="S157" s="181" t="str">
        <f t="shared" ca="1" si="21"/>
        <v>CN</v>
      </c>
      <c r="T157" s="181" t="str">
        <f ca="1">IF(B157="","",IF(ISERROR(MATCH($J157,SorP!$B$1:$B$6279,0)),"",INDIRECT("'SorP'!$A$"&amp;MATCH($S157&amp;$J157,SorP!C:C,0))))</f>
        <v>CN-HA</v>
      </c>
      <c r="U157" s="201"/>
      <c r="V157" s="226">
        <f>IF(C157="",NA(),IF(OR(C157="Smelter not listed",C157="Smelter not yet identified"),MATCH($B157&amp;$D157,'Smelter Look-up'!$J:$J,0),MATCH($B157&amp;$C157,'Smelter Look-up'!$J:$J,0)))</f>
        <v>571</v>
      </c>
      <c r="X157" s="227">
        <f t="shared" si="22"/>
        <v>0</v>
      </c>
      <c r="AB157" s="228" t="str">
        <f t="shared" si="23"/>
        <v>TungstenChina Molybdenum Tungsten Co., Ltd.</v>
      </c>
    </row>
    <row r="158" spans="1:28" s="227" customFormat="1" ht="20.25">
      <c r="A158" s="301" t="s">
        <v>15484</v>
      </c>
      <c r="B158" s="408" t="s">
        <v>1126</v>
      </c>
      <c r="C158" s="409" t="s">
        <v>15483</v>
      </c>
      <c r="D158" s="410"/>
      <c r="E158" s="408" t="s">
        <v>15820</v>
      </c>
      <c r="F158" s="408" t="s">
        <v>15484</v>
      </c>
      <c r="G158" s="408" t="s">
        <v>13240</v>
      </c>
      <c r="H158" s="411"/>
      <c r="I158" s="411" t="s">
        <v>15485</v>
      </c>
      <c r="J158" s="411" t="s">
        <v>1790</v>
      </c>
      <c r="K158" s="224"/>
      <c r="L158" s="224"/>
      <c r="M158" s="224"/>
      <c r="N158" s="224"/>
      <c r="O158" s="224"/>
      <c r="P158" s="185"/>
      <c r="Q158" s="225"/>
      <c r="R158" s="182" t="str">
        <f ca="1">IF(ISERROR($V158),"",OFFSET('Smelter Look-up'!$C$4,$V158-4,0)&amp;"")</f>
        <v>PT Cipta Persada Mulia</v>
      </c>
      <c r="S158" s="181" t="str">
        <f t="shared" ca="1" si="21"/>
        <v>ID</v>
      </c>
      <c r="T158" s="181" t="str">
        <f ca="1">IF(B158="","",IF(ISERROR(MATCH($J158,SorP!$B$1:$B$6279,0)),"",INDIRECT("'SorP'!$A$"&amp;MATCH($S158&amp;$J158,SorP!C:C,0))))</f>
        <v>ID-KR</v>
      </c>
      <c r="U158" s="201"/>
      <c r="V158" s="226">
        <f>IF(C158="",NA(),IF(OR(C158="Smelter not listed",C158="Smelter not yet identified"),MATCH($B158&amp;$D158,'Smelter Look-up'!$J:$J,0),MATCH($B158&amp;$C158,'Smelter Look-up'!$J:$J,0)))</f>
        <v>496</v>
      </c>
      <c r="X158" s="227">
        <f t="shared" si="22"/>
        <v>0</v>
      </c>
      <c r="AB158" s="228" t="str">
        <f t="shared" si="23"/>
        <v>TinPT Cipta Persada Mulia</v>
      </c>
    </row>
    <row r="159" spans="1:28" s="227" customFormat="1" ht="20.25">
      <c r="A159" s="301" t="s">
        <v>1814</v>
      </c>
      <c r="B159" s="408" t="s">
        <v>1126</v>
      </c>
      <c r="C159" s="409" t="s">
        <v>12434</v>
      </c>
      <c r="D159" s="410"/>
      <c r="E159" s="408" t="s">
        <v>15811</v>
      </c>
      <c r="F159" s="408" t="s">
        <v>1814</v>
      </c>
      <c r="G159" s="408" t="s">
        <v>13240</v>
      </c>
      <c r="H159" s="411"/>
      <c r="I159" s="411" t="s">
        <v>1721</v>
      </c>
      <c r="J159" s="411" t="s">
        <v>1758</v>
      </c>
      <c r="K159" s="224"/>
      <c r="L159" s="224"/>
      <c r="M159" s="224"/>
      <c r="N159" s="224"/>
      <c r="O159" s="224"/>
      <c r="P159" s="185"/>
      <c r="Q159" s="225"/>
      <c r="R159" s="182" t="str">
        <f ca="1">IF(ISERROR($V159),"",OFFSET('Smelter Look-up'!$C$4,$V159-4,0)&amp;"")</f>
        <v>Resind Industria e Comercio Ltda.</v>
      </c>
      <c r="S159" s="181" t="str">
        <f t="shared" ca="1" si="21"/>
        <v>BR</v>
      </c>
      <c r="T159" s="181" t="str">
        <f ca="1">IF(B159="","",IF(ISERROR(MATCH($J159,SorP!$B$1:$B$6279,0)),"",INDIRECT("'SorP'!$A$"&amp;MATCH($S159&amp;$J159,SorP!C:C,0))))</f>
        <v>BR-MG</v>
      </c>
      <c r="U159" s="201"/>
      <c r="V159" s="226">
        <f>IF(C159="",NA(),IF(OR(C159="Smelter not listed",C159="Smelter not yet identified"),MATCH($B159&amp;$D159,'Smelter Look-up'!$J:$J,0),MATCH($B159&amp;$C159,'Smelter Look-up'!$J:$J,0)))</f>
        <v>519</v>
      </c>
      <c r="X159" s="227">
        <f t="shared" si="22"/>
        <v>0</v>
      </c>
      <c r="AB159" s="228" t="str">
        <f t="shared" si="23"/>
        <v>TinResind Industria e Comercio Ltda.</v>
      </c>
    </row>
    <row r="160" spans="1:28" s="227" customFormat="1" ht="20.25">
      <c r="A160" s="301" t="s">
        <v>1757</v>
      </c>
      <c r="B160" s="408" t="s">
        <v>1127</v>
      </c>
      <c r="C160" s="409" t="s">
        <v>12434</v>
      </c>
      <c r="D160" s="410"/>
      <c r="E160" s="408" t="s">
        <v>15811</v>
      </c>
      <c r="F160" s="408" t="s">
        <v>1757</v>
      </c>
      <c r="G160" s="408" t="s">
        <v>13240</v>
      </c>
      <c r="H160" s="411"/>
      <c r="I160" s="411" t="s">
        <v>1721</v>
      </c>
      <c r="J160" s="411" t="s">
        <v>1758</v>
      </c>
      <c r="K160" s="224"/>
      <c r="L160" s="224"/>
      <c r="M160" s="224"/>
      <c r="N160" s="224"/>
      <c r="O160" s="224"/>
      <c r="P160" s="185"/>
      <c r="Q160" s="225"/>
      <c r="R160" s="182" t="str">
        <f ca="1">IF(ISERROR($V160),"",OFFSET('Smelter Look-up'!$C$4,$V160-4,0)&amp;"")</f>
        <v>Resind Industria e Comercio Ltda.</v>
      </c>
      <c r="S160" s="181" t="str">
        <f t="shared" ca="1" si="21"/>
        <v>BR</v>
      </c>
      <c r="T160" s="181" t="str">
        <f ca="1">IF(B160="","",IF(ISERROR(MATCH($J160,SorP!$B$1:$B$6279,0)),"",INDIRECT("'SorP'!$A$"&amp;MATCH($S160&amp;$J160,SorP!C:C,0))))</f>
        <v>BR-MG</v>
      </c>
      <c r="U160" s="201"/>
      <c r="V160" s="226">
        <f>IF(C160="",NA(),IF(OR(C160="Smelter not listed",C160="Smelter not yet identified"),MATCH($B160&amp;$D160,'Smelter Look-up'!$J:$J,0),MATCH($B160&amp;$C160,'Smelter Look-up'!$J:$J,0)))</f>
        <v>363</v>
      </c>
      <c r="X160" s="227">
        <f t="shared" si="22"/>
        <v>0</v>
      </c>
      <c r="AB160" s="228" t="str">
        <f t="shared" si="23"/>
        <v>TantalumResind Industria e Comercio Ltda.</v>
      </c>
    </row>
    <row r="161" spans="1:28" s="227" customFormat="1" ht="25.5">
      <c r="A161" s="301" t="s">
        <v>2434</v>
      </c>
      <c r="B161" s="408" t="s">
        <v>1125</v>
      </c>
      <c r="C161" s="409" t="s">
        <v>2433</v>
      </c>
      <c r="D161" s="410"/>
      <c r="E161" s="408" t="s">
        <v>15814</v>
      </c>
      <c r="F161" s="408" t="s">
        <v>2434</v>
      </c>
      <c r="G161" s="408" t="s">
        <v>13240</v>
      </c>
      <c r="H161" s="411"/>
      <c r="I161" s="411" t="s">
        <v>2435</v>
      </c>
      <c r="J161" s="411" t="s">
        <v>1737</v>
      </c>
      <c r="K161" s="224"/>
      <c r="L161" s="224"/>
      <c r="M161" s="224"/>
      <c r="N161" s="224"/>
      <c r="O161" s="224"/>
      <c r="P161" s="185"/>
      <c r="Q161" s="225"/>
      <c r="R161" s="182" t="str">
        <f ca="1">IF(ISERROR($V161),"",OFFSET('Smelter Look-up'!$C$4,$V161-4,0)&amp;"")</f>
        <v>Abington Reldan Metals, LLC</v>
      </c>
      <c r="S161" s="181" t="str">
        <f t="shared" ca="1" si="21"/>
        <v>US</v>
      </c>
      <c r="T161" s="181" t="str">
        <f ca="1">IF(B161="","",IF(ISERROR(MATCH($J161,SorP!$B$1:$B$6279,0)),"",INDIRECT("'SorP'!$A$"&amp;MATCH($S161&amp;$J161,SorP!C:C,0))))</f>
        <v>US-PA</v>
      </c>
      <c r="U161" s="201"/>
      <c r="V161" s="226">
        <f>IF(C161="",NA(),IF(OR(C161="Smelter not listed",C161="Smelter not yet identified"),MATCH($B161&amp;$D161,'Smelter Look-up'!$J:$J,0),MATCH($B161&amp;$C161,'Smelter Look-up'!$J:$J,0)))</f>
        <v>7</v>
      </c>
      <c r="X161" s="227">
        <f t="shared" si="22"/>
        <v>0</v>
      </c>
      <c r="AB161" s="228" t="str">
        <f t="shared" si="23"/>
        <v>GoldAbington Reldan Metals, LLC</v>
      </c>
    </row>
    <row r="162" spans="1:28" s="227" customFormat="1" ht="20.25">
      <c r="A162" s="301" t="s">
        <v>2531</v>
      </c>
      <c r="B162" s="408" t="s">
        <v>1126</v>
      </c>
      <c r="C162" s="409" t="s">
        <v>2530</v>
      </c>
      <c r="D162" s="410"/>
      <c r="E162" s="408" t="s">
        <v>15811</v>
      </c>
      <c r="F162" s="408" t="s">
        <v>2531</v>
      </c>
      <c r="G162" s="408" t="s">
        <v>13240</v>
      </c>
      <c r="H162" s="411"/>
      <c r="I162" s="411" t="s">
        <v>2540</v>
      </c>
      <c r="J162" s="411" t="s">
        <v>1674</v>
      </c>
      <c r="K162" s="224"/>
      <c r="L162" s="224"/>
      <c r="M162" s="224"/>
      <c r="N162" s="224"/>
      <c r="O162" s="224"/>
      <c r="P162" s="185"/>
      <c r="Q162" s="225"/>
      <c r="R162" s="182" t="str">
        <f ca="1">IF(ISERROR($V162),"",OFFSET('Smelter Look-up'!$C$4,$V162-4,0)&amp;"")</f>
        <v>Super Ligas</v>
      </c>
      <c r="S162" s="181" t="str">
        <f t="shared" ca="1" si="21"/>
        <v>BR</v>
      </c>
      <c r="T162" s="181" t="str">
        <f ca="1">IF(B162="","",IF(ISERROR(MATCH($J162,SorP!$B$1:$B$6279,0)),"",INDIRECT("'SorP'!$A$"&amp;MATCH($S162&amp;$J162,SorP!C:C,0))))</f>
        <v>BR-SP</v>
      </c>
      <c r="U162" s="201"/>
      <c r="V162" s="226">
        <f>IF(C162="",NA(),IF(OR(C162="Smelter not listed",C162="Smelter not yet identified"),MATCH($B162&amp;$D162,'Smelter Look-up'!$J:$J,0),MATCH($B162&amp;$C162,'Smelter Look-up'!$J:$J,0)))</f>
        <v>523</v>
      </c>
      <c r="X162" s="227">
        <f t="shared" si="22"/>
        <v>0</v>
      </c>
      <c r="AB162" s="228" t="str">
        <f t="shared" si="23"/>
        <v>TinSuper Ligas</v>
      </c>
    </row>
    <row r="163" spans="1:28" s="227" customFormat="1" ht="20.25">
      <c r="A163" s="301" t="s">
        <v>2440</v>
      </c>
      <c r="B163" s="408" t="s">
        <v>1125</v>
      </c>
      <c r="C163" s="409" t="s">
        <v>2439</v>
      </c>
      <c r="D163" s="410"/>
      <c r="E163" s="408" t="s">
        <v>15843</v>
      </c>
      <c r="F163" s="408" t="s">
        <v>2440</v>
      </c>
      <c r="G163" s="408" t="s">
        <v>13240</v>
      </c>
      <c r="H163" s="411"/>
      <c r="I163" s="411" t="s">
        <v>2450</v>
      </c>
      <c r="J163" s="411" t="s">
        <v>2450</v>
      </c>
      <c r="K163" s="224"/>
      <c r="L163" s="224"/>
      <c r="M163" s="224"/>
      <c r="N163" s="224"/>
      <c r="O163" s="224"/>
      <c r="P163" s="185"/>
      <c r="Q163" s="225"/>
      <c r="R163" s="182" t="str">
        <f ca="1">IF(ISERROR($V163),"",OFFSET('Smelter Look-up'!$C$4,$V163-4,0)&amp;"")</f>
        <v>L'Orfebre S.A.</v>
      </c>
      <c r="S163" s="181" t="str">
        <f t="shared" ca="1" si="21"/>
        <v>AD</v>
      </c>
      <c r="T163" s="181" t="str">
        <f ca="1">IF(B163="","",IF(ISERROR(MATCH($J163,SorP!$B$1:$B$6279,0)),"",INDIRECT("'SorP'!$A$"&amp;MATCH($S163&amp;$J163,SorP!C:C,0))))</f>
        <v>AD-07</v>
      </c>
      <c r="U163" s="201"/>
      <c r="V163" s="226">
        <f>IF(C163="",NA(),IF(OR(C163="Smelter not listed",C163="Smelter not yet identified"),MATCH($B163&amp;$D163,'Smelter Look-up'!$J:$J,0),MATCH($B163&amp;$C163,'Smelter Look-up'!$J:$J,0)))</f>
        <v>156</v>
      </c>
      <c r="X163" s="227">
        <f t="shared" si="22"/>
        <v>0</v>
      </c>
      <c r="AB163" s="228" t="str">
        <f t="shared" si="23"/>
        <v>GoldL'Orfebre S.A.</v>
      </c>
    </row>
    <row r="164" spans="1:28" s="227" customFormat="1" ht="20.25">
      <c r="A164" s="301" t="s">
        <v>2503</v>
      </c>
      <c r="B164" s="408" t="s">
        <v>1125</v>
      </c>
      <c r="C164" s="409" t="s">
        <v>2502</v>
      </c>
      <c r="D164" s="410"/>
      <c r="E164" s="408" t="s">
        <v>15819</v>
      </c>
      <c r="F164" s="408" t="s">
        <v>2503</v>
      </c>
      <c r="G164" s="408" t="s">
        <v>13240</v>
      </c>
      <c r="H164" s="411"/>
      <c r="I164" s="411" t="s">
        <v>1569</v>
      </c>
      <c r="J164" s="411" t="s">
        <v>6470</v>
      </c>
      <c r="K164" s="224"/>
      <c r="L164" s="224"/>
      <c r="M164" s="224"/>
      <c r="N164" s="224"/>
      <c r="O164" s="224"/>
      <c r="P164" s="185"/>
      <c r="Q164" s="225"/>
      <c r="R164" s="182" t="str">
        <f ca="1">IF(ISERROR($V164),"",OFFSET('Smelter Look-up'!$C$4,$V164-4,0)&amp;"")</f>
        <v>Italpreziosi</v>
      </c>
      <c r="S164" s="181" t="str">
        <f t="shared" ca="1" si="21"/>
        <v>IT</v>
      </c>
      <c r="T164" s="181" t="str">
        <f ca="1">IF(B164="","",IF(ISERROR(MATCH($J164,SorP!$B$1:$B$6279,0)),"",INDIRECT("'SorP'!$A$"&amp;MATCH($S164&amp;$J164,SorP!C:C,0))))</f>
        <v>IT-52</v>
      </c>
      <c r="U164" s="201"/>
      <c r="V164" s="226">
        <f>IF(C164="",NA(),IF(OR(C164="Smelter not listed",C164="Smelter not yet identified"),MATCH($B164&amp;$D164,'Smelter Look-up'!$J:$J,0),MATCH($B164&amp;$C164,'Smelter Look-up'!$J:$J,0)))</f>
        <v>120</v>
      </c>
      <c r="X164" s="227">
        <f t="shared" si="22"/>
        <v>0</v>
      </c>
      <c r="AB164" s="228" t="str">
        <f t="shared" si="23"/>
        <v>GoldItalpreziosi</v>
      </c>
    </row>
    <row r="165" spans="1:28" s="227" customFormat="1" ht="20.25">
      <c r="A165" s="301" t="s">
        <v>2204</v>
      </c>
      <c r="B165" s="408" t="s">
        <v>1125</v>
      </c>
      <c r="C165" s="409" t="s">
        <v>2202</v>
      </c>
      <c r="D165" s="410"/>
      <c r="E165" s="408" t="s">
        <v>15809</v>
      </c>
      <c r="F165" s="408" t="s">
        <v>2204</v>
      </c>
      <c r="G165" s="408" t="s">
        <v>13240</v>
      </c>
      <c r="H165" s="411"/>
      <c r="I165" s="411" t="s">
        <v>1542</v>
      </c>
      <c r="J165" s="411" t="s">
        <v>1543</v>
      </c>
      <c r="K165" s="224"/>
      <c r="L165" s="224"/>
      <c r="M165" s="224"/>
      <c r="N165" s="224"/>
      <c r="O165" s="224"/>
      <c r="P165" s="185"/>
      <c r="Q165" s="225"/>
      <c r="R165" s="182" t="str">
        <f ca="1">IF(ISERROR($V165),"",OFFSET('Smelter Look-up'!$C$4,$V165-4,0)&amp;"")</f>
        <v>WIELAND Edelmetalle GmbH</v>
      </c>
      <c r="S165" s="181" t="str">
        <f t="shared" ca="1" si="21"/>
        <v>DE</v>
      </c>
      <c r="T165" s="181" t="str">
        <f ca="1">IF(B165="","",IF(ISERROR(MATCH($J165,SorP!$B$1:$B$6279,0)),"",INDIRECT("'SorP'!$A$"&amp;MATCH($S165&amp;$J165,SorP!C:C,0))))</f>
        <v>DE-BW</v>
      </c>
      <c r="U165" s="201"/>
      <c r="V165" s="226">
        <f>IF(C165="",NA(),IF(OR(C165="Smelter not listed",C165="Smelter not yet identified"),MATCH($B165&amp;$D165,'Smelter Look-up'!$J:$J,0),MATCH($B165&amp;$C165,'Smelter Look-up'!$J:$J,0)))</f>
        <v>298</v>
      </c>
      <c r="X165" s="227">
        <f t="shared" si="22"/>
        <v>0</v>
      </c>
      <c r="AB165" s="228" t="str">
        <f t="shared" si="23"/>
        <v>GoldWIELAND Edelmetalle GmbH</v>
      </c>
    </row>
    <row r="166" spans="1:28" s="227" customFormat="1" ht="25.5">
      <c r="A166" s="301" t="s">
        <v>2205</v>
      </c>
      <c r="B166" s="408" t="s">
        <v>1125</v>
      </c>
      <c r="C166" s="409" t="s">
        <v>12435</v>
      </c>
      <c r="D166" s="410"/>
      <c r="E166" s="408" t="s">
        <v>15838</v>
      </c>
      <c r="F166" s="408" t="s">
        <v>2205</v>
      </c>
      <c r="G166" s="408" t="s">
        <v>13240</v>
      </c>
      <c r="H166" s="411"/>
      <c r="I166" s="411" t="s">
        <v>2206</v>
      </c>
      <c r="J166" s="411" t="s">
        <v>2804</v>
      </c>
      <c r="K166" s="224"/>
      <c r="L166" s="224"/>
      <c r="M166" s="224"/>
      <c r="N166" s="224"/>
      <c r="O166" s="224"/>
      <c r="P166" s="185"/>
      <c r="Q166" s="225"/>
      <c r="R166" s="182" t="str">
        <f ca="1">IF(ISERROR($V166),"",OFFSET('Smelter Look-up'!$C$4,$V166-4,0)&amp;"")</f>
        <v>Ogussa Osterreichische Gold- und Silber-Scheideanstalt GmbH</v>
      </c>
      <c r="S166" s="181" t="str">
        <f t="shared" ref="S166:S196" ca="1" si="24">IF(B166="","",IF(ISERROR(MATCH($E166,CL,0)),"Unknown",INDIRECT("'C'!$A$"&amp;MATCH($E166,CL,0)+1)))</f>
        <v>AT</v>
      </c>
      <c r="T166" s="181" t="str">
        <f ca="1">IF(B166="","",IF(ISERROR(MATCH($J166,SorP!$B$1:$B$6279,0)),"",INDIRECT("'SorP'!$A$"&amp;MATCH($S166&amp;$J166,SorP!C:C,0))))</f>
        <v>AT-9</v>
      </c>
      <c r="U166" s="201"/>
      <c r="V166" s="226">
        <f>IF(C166="",NA(),IF(OR(C166="Smelter not listed",C166="Smelter not yet identified"),MATCH($B166&amp;$D166,'Smelter Look-up'!$J:$J,0),MATCH($B166&amp;$C166,'Smelter Look-up'!$J:$J,0)))</f>
        <v>196</v>
      </c>
      <c r="X166" s="227">
        <f t="shared" ref="X166:X196" si="25">IF(AND(C166="Smelter not listed",OR(LEN(D166)=0,LEN(E166)=0)),1,0)</f>
        <v>0</v>
      </c>
      <c r="AB166" s="228" t="str">
        <f t="shared" ref="AB166:AB196" si="26">B166&amp;C166</f>
        <v>GoldOgussa Osterreichische Gold- und Silber-Scheideanstalt GmbH</v>
      </c>
    </row>
    <row r="167" spans="1:28" s="227" customFormat="1" ht="25.5">
      <c r="A167" s="301" t="s">
        <v>15495</v>
      </c>
      <c r="B167" s="408" t="s">
        <v>1126</v>
      </c>
      <c r="C167" s="409" t="s">
        <v>15494</v>
      </c>
      <c r="D167" s="410"/>
      <c r="E167" s="408" t="s">
        <v>15820</v>
      </c>
      <c r="F167" s="408" t="s">
        <v>15495</v>
      </c>
      <c r="G167" s="408" t="s">
        <v>13240</v>
      </c>
      <c r="H167" s="411"/>
      <c r="I167" s="411" t="s">
        <v>15844</v>
      </c>
      <c r="J167" s="411" t="s">
        <v>12852</v>
      </c>
      <c r="K167" s="224"/>
      <c r="L167" s="224"/>
      <c r="M167" s="224"/>
      <c r="N167" s="224"/>
      <c r="O167" s="224"/>
      <c r="P167" s="185"/>
      <c r="Q167" s="225"/>
      <c r="R167" s="182" t="str">
        <f ca="1">IF(ISERROR($V167),"",OFFSET('Smelter Look-up'!$C$4,$V167-4,0)&amp;"")</f>
        <v>PT Sukses Inti Makmur</v>
      </c>
      <c r="S167" s="181" t="str">
        <f t="shared" ca="1" si="24"/>
        <v>ID</v>
      </c>
      <c r="T167" s="181" t="str">
        <f ca="1">IF(B167="","",IF(ISERROR(MATCH($J167,SorP!$B$1:$B$6279,0)),"",INDIRECT("'SorP'!$A$"&amp;MATCH($S167&amp;$J167,SorP!C:C,0))))</f>
        <v>ID-BB</v>
      </c>
      <c r="U167" s="201"/>
      <c r="V167" s="226">
        <f>IF(C167="",NA(),IF(OR(C167="Smelter not listed",C167="Smelter not yet identified"),MATCH($B167&amp;$D167,'Smelter Look-up'!$J:$J,0),MATCH($B167&amp;$C167,'Smelter Look-up'!$J:$J,0)))</f>
        <v>510</v>
      </c>
      <c r="X167" s="227">
        <f t="shared" si="25"/>
        <v>0</v>
      </c>
      <c r="AB167" s="228" t="str">
        <f t="shared" si="26"/>
        <v>TinPT Sukses Inti Makmur</v>
      </c>
    </row>
    <row r="168" spans="1:28" s="227" customFormat="1" ht="20.25">
      <c r="A168" s="301" t="s">
        <v>2273</v>
      </c>
      <c r="B168" s="408" t="s">
        <v>1128</v>
      </c>
      <c r="C168" s="409" t="s">
        <v>2343</v>
      </c>
      <c r="D168" s="410"/>
      <c r="E168" s="408" t="s">
        <v>15815</v>
      </c>
      <c r="F168" s="408" t="s">
        <v>2273</v>
      </c>
      <c r="G168" s="408" t="s">
        <v>13240</v>
      </c>
      <c r="H168" s="411"/>
      <c r="I168" s="411" t="s">
        <v>2274</v>
      </c>
      <c r="J168" s="411" t="s">
        <v>2275</v>
      </c>
      <c r="K168" s="224"/>
      <c r="L168" s="224"/>
      <c r="M168" s="224"/>
      <c r="N168" s="224"/>
      <c r="O168" s="224"/>
      <c r="P168" s="185"/>
      <c r="Q168" s="225"/>
      <c r="R168" s="182" t="str">
        <f ca="1">IF(ISERROR($V168),"",OFFSET('Smelter Look-up'!$C$4,$V168-4,0)&amp;"")</f>
        <v>Philippine Chuangxin Industrial Co., Inc.</v>
      </c>
      <c r="S168" s="181" t="str">
        <f t="shared" ca="1" si="24"/>
        <v>PH</v>
      </c>
      <c r="T168" s="181" t="str">
        <f ca="1">IF(B168="","",IF(ISERROR(MATCH($J168,SorP!$B$1:$B$6279,0)),"",INDIRECT("'SorP'!$A$"&amp;MATCH($S168&amp;$J168,SorP!C:C,0))))</f>
        <v>PH-BUL</v>
      </c>
      <c r="U168" s="201"/>
      <c r="V168" s="226">
        <f>IF(C168="",NA(),IF(OR(C168="Smelter not listed",C168="Smelter not yet identified"),MATCH($B168&amp;$D168,'Smelter Look-up'!$J:$J,0),MATCH($B168&amp;$C168,'Smelter Look-up'!$J:$J,0)))</f>
        <v>626</v>
      </c>
      <c r="X168" s="227">
        <f t="shared" si="25"/>
        <v>0</v>
      </c>
      <c r="AB168" s="228" t="str">
        <f t="shared" si="26"/>
        <v>TungstenPhilippine Chuangxin Industrial Co., Inc.</v>
      </c>
    </row>
    <row r="169" spans="1:28" s="227" customFormat="1" ht="25.5">
      <c r="A169" s="301" t="s">
        <v>15110</v>
      </c>
      <c r="B169" s="408" t="s">
        <v>1126</v>
      </c>
      <c r="C169" s="409" t="s">
        <v>15109</v>
      </c>
      <c r="D169" s="410"/>
      <c r="E169" s="408" t="s">
        <v>15820</v>
      </c>
      <c r="F169" s="408" t="s">
        <v>15110</v>
      </c>
      <c r="G169" s="408" t="s">
        <v>13240</v>
      </c>
      <c r="H169" s="411"/>
      <c r="I169" s="411" t="s">
        <v>15148</v>
      </c>
      <c r="J169" s="411" t="s">
        <v>12852</v>
      </c>
      <c r="K169" s="224"/>
      <c r="L169" s="224"/>
      <c r="M169" s="224"/>
      <c r="N169" s="224"/>
      <c r="O169" s="224"/>
      <c r="P169" s="185"/>
      <c r="Q169" s="225"/>
      <c r="R169" s="182" t="str">
        <f ca="1">IF(ISERROR($V169),"",OFFSET('Smelter Look-up'!$C$4,$V169-4,0)&amp;"")</f>
        <v>PT Menara Cipta Mulia</v>
      </c>
      <c r="S169" s="181" t="str">
        <f t="shared" ca="1" si="24"/>
        <v>ID</v>
      </c>
      <c r="T169" s="181" t="str">
        <f ca="1">IF(B169="","",IF(ISERROR(MATCH($J169,SorP!$B$1:$B$6279,0)),"",INDIRECT("'SorP'!$A$"&amp;MATCH($S169&amp;$J169,SorP!C:C,0))))</f>
        <v>ID-BB</v>
      </c>
      <c r="U169" s="201"/>
      <c r="V169" s="226">
        <f>IF(C169="",NA(),IF(OR(C169="Smelter not listed",C169="Smelter not yet identified"),MATCH($B169&amp;$D169,'Smelter Look-up'!$J:$J,0),MATCH($B169&amp;$C169,'Smelter Look-up'!$J:$J,0)))</f>
        <v>499</v>
      </c>
      <c r="X169" s="227">
        <f t="shared" si="25"/>
        <v>0</v>
      </c>
      <c r="AB169" s="228" t="str">
        <f t="shared" si="26"/>
        <v>TinPT Menara Cipta Mulia</v>
      </c>
    </row>
    <row r="170" spans="1:28" s="227" customFormat="1" ht="20.25">
      <c r="A170" s="301" t="s">
        <v>2270</v>
      </c>
      <c r="B170" s="408" t="s">
        <v>1127</v>
      </c>
      <c r="C170" s="409" t="s">
        <v>2269</v>
      </c>
      <c r="D170" s="410"/>
      <c r="E170" s="408" t="s">
        <v>15818</v>
      </c>
      <c r="F170" s="408" t="s">
        <v>2270</v>
      </c>
      <c r="G170" s="408" t="s">
        <v>13240</v>
      </c>
      <c r="H170" s="411"/>
      <c r="I170" s="411" t="s">
        <v>1739</v>
      </c>
      <c r="J170" s="411" t="s">
        <v>13619</v>
      </c>
      <c r="K170" s="224"/>
      <c r="L170" s="224"/>
      <c r="M170" s="224"/>
      <c r="N170" s="224"/>
      <c r="O170" s="224"/>
      <c r="P170" s="185"/>
      <c r="Q170" s="225"/>
      <c r="R170" s="182" t="str">
        <f ca="1">IF(ISERROR($V170),"",OFFSET('Smelter Look-up'!$C$4,$V170-4,0)&amp;"")</f>
        <v>Jiangxi Tuohong New Raw Material</v>
      </c>
      <c r="S170" s="181" t="str">
        <f t="shared" ca="1" si="24"/>
        <v>CN</v>
      </c>
      <c r="T170" s="181" t="str">
        <f ca="1">IF(B170="","",IF(ISERROR(MATCH($J170,SorP!$B$1:$B$6279,0)),"",INDIRECT("'SorP'!$A$"&amp;MATCH($S170&amp;$J170,SorP!C:C,0))))</f>
        <v>CN-JX</v>
      </c>
      <c r="U170" s="201"/>
      <c r="V170" s="226">
        <f>IF(C170="",NA(),IF(OR(C170="Smelter not listed",C170="Smelter not yet identified"),MATCH($B170&amp;$D170,'Smelter Look-up'!$J:$J,0),MATCH($B170&amp;$C170,'Smelter Look-up'!$J:$J,0)))</f>
        <v>340</v>
      </c>
      <c r="X170" s="227">
        <f t="shared" si="25"/>
        <v>0</v>
      </c>
      <c r="AB170" s="228" t="str">
        <f t="shared" si="26"/>
        <v>TantalumJiangxi Tuohong New Raw Material</v>
      </c>
    </row>
    <row r="171" spans="1:28" s="227" customFormat="1" ht="20.25">
      <c r="A171" s="301" t="s">
        <v>2452</v>
      </c>
      <c r="B171" s="408" t="s">
        <v>1125</v>
      </c>
      <c r="C171" s="409" t="s">
        <v>12925</v>
      </c>
      <c r="D171" s="410"/>
      <c r="E171" s="408" t="s">
        <v>15821</v>
      </c>
      <c r="F171" s="408" t="s">
        <v>2452</v>
      </c>
      <c r="G171" s="408" t="s">
        <v>13240</v>
      </c>
      <c r="H171" s="411"/>
      <c r="I171" s="411" t="s">
        <v>12940</v>
      </c>
      <c r="J171" s="411" t="s">
        <v>12874</v>
      </c>
      <c r="K171" s="224"/>
      <c r="L171" s="224"/>
      <c r="M171" s="224"/>
      <c r="N171" s="224"/>
      <c r="O171" s="224"/>
      <c r="P171" s="185"/>
      <c r="Q171" s="225"/>
      <c r="R171" s="182" t="str">
        <f ca="1">IF(ISERROR($V171),"",OFFSET('Smelter Look-up'!$C$4,$V171-4,0)&amp;"")</f>
        <v>SungEel HiMetal Co., Ltd.</v>
      </c>
      <c r="S171" s="181" t="str">
        <f t="shared" ca="1" si="24"/>
        <v>KR</v>
      </c>
      <c r="T171" s="181" t="str">
        <f ca="1">IF(B171="","",IF(ISERROR(MATCH($J171,SorP!$B$1:$B$6279,0)),"",INDIRECT("'SorP'!$A$"&amp;MATCH($S171&amp;$J171,SorP!C:C,0))))</f>
        <v>KR-45</v>
      </c>
      <c r="U171" s="201"/>
      <c r="V171" s="226">
        <f>IF(C171="",NA(),IF(OR(C171="Smelter not listed",C171="Smelter not yet identified"),MATCH($B171&amp;$D171,'Smelter Look-up'!$J:$J,0),MATCH($B171&amp;$C171,'Smelter Look-up'!$J:$J,0)))</f>
        <v>266</v>
      </c>
      <c r="X171" s="227">
        <f t="shared" si="25"/>
        <v>0</v>
      </c>
      <c r="AB171" s="228" t="str">
        <f t="shared" si="26"/>
        <v>GoldSungEel HiMetal Co., Ltd.</v>
      </c>
    </row>
    <row r="172" spans="1:28" s="227" customFormat="1" ht="20.25">
      <c r="A172" s="301" t="s">
        <v>2514</v>
      </c>
      <c r="B172" s="408" t="s">
        <v>1125</v>
      </c>
      <c r="C172" s="409" t="s">
        <v>2513</v>
      </c>
      <c r="D172" s="410"/>
      <c r="E172" s="408" t="s">
        <v>15845</v>
      </c>
      <c r="F172" s="408" t="s">
        <v>2514</v>
      </c>
      <c r="G172" s="408" t="s">
        <v>13240</v>
      </c>
      <c r="H172" s="411"/>
      <c r="I172" s="411" t="s">
        <v>2515</v>
      </c>
      <c r="J172" s="411" t="s">
        <v>2516</v>
      </c>
      <c r="K172" s="224"/>
      <c r="L172" s="224"/>
      <c r="M172" s="224"/>
      <c r="N172" s="224"/>
      <c r="O172" s="224"/>
      <c r="P172" s="185"/>
      <c r="Q172" s="225"/>
      <c r="R172" s="182" t="str">
        <f ca="1">IF(ISERROR($V172),"",OFFSET('Smelter Look-up'!$C$4,$V172-4,0)&amp;"")</f>
        <v>Planta Recuperadora de Metales SpA</v>
      </c>
      <c r="S172" s="181" t="str">
        <f t="shared" ca="1" si="24"/>
        <v>CL</v>
      </c>
      <c r="T172" s="181" t="str">
        <f ca="1">IF(B172="","",IF(ISERROR(MATCH($J172,SorP!$B$1:$B$6279,0)),"",INDIRECT("'SorP'!$A$"&amp;MATCH($S172&amp;$J172,SorP!C:C,0))))</f>
        <v>CL-AN</v>
      </c>
      <c r="U172" s="201"/>
      <c r="V172" s="226">
        <f>IF(C172="",NA(),IF(OR(C172="Smelter not listed",C172="Smelter not yet identified"),MATCH($B172&amp;$D172,'Smelter Look-up'!$J:$J,0),MATCH($B172&amp;$C172,'Smelter Look-up'!$J:$J,0)))</f>
        <v>208</v>
      </c>
      <c r="X172" s="227">
        <f t="shared" si="25"/>
        <v>0</v>
      </c>
      <c r="AB172" s="228" t="str">
        <f t="shared" si="26"/>
        <v>GoldPlanta Recuperadora de Metales SpA</v>
      </c>
    </row>
    <row r="173" spans="1:28" s="227" customFormat="1" ht="20.25">
      <c r="A173" s="301" t="s">
        <v>2529</v>
      </c>
      <c r="B173" s="408" t="s">
        <v>1126</v>
      </c>
      <c r="C173" s="409" t="s">
        <v>2528</v>
      </c>
      <c r="D173" s="410"/>
      <c r="E173" s="408" t="s">
        <v>15818</v>
      </c>
      <c r="F173" s="408" t="s">
        <v>2529</v>
      </c>
      <c r="G173" s="408" t="s">
        <v>13240</v>
      </c>
      <c r="H173" s="411"/>
      <c r="I173" s="411" t="s">
        <v>1824</v>
      </c>
      <c r="J173" s="411" t="s">
        <v>13624</v>
      </c>
      <c r="K173" s="224"/>
      <c r="L173" s="224"/>
      <c r="M173" s="224"/>
      <c r="N173" s="224"/>
      <c r="O173" s="224"/>
      <c r="P173" s="185"/>
      <c r="Q173" s="225"/>
      <c r="R173" s="182" t="str">
        <f ca="1">IF(ISERROR($V173),"",OFFSET('Smelter Look-up'!$C$4,$V173-4,0)&amp;"")</f>
        <v>Guangdong Hanhe Non-Ferrous Metal Co., Ltd.</v>
      </c>
      <c r="S173" s="181" t="str">
        <f t="shared" ca="1" si="24"/>
        <v>CN</v>
      </c>
      <c r="T173" s="181" t="str">
        <f ca="1">IF(B173="","",IF(ISERROR(MATCH($J173,SorP!$B$1:$B$6279,0)),"",INDIRECT("'SorP'!$A$"&amp;MATCH($S173&amp;$J173,SorP!C:C,0))))</f>
        <v>CN-GD</v>
      </c>
      <c r="U173" s="201"/>
      <c r="V173" s="226">
        <f>IF(C173="",NA(),IF(OR(C173="Smelter not listed",C173="Smelter not yet identified"),MATCH($B173&amp;$D173,'Smelter Look-up'!$J:$J,0),MATCH($B173&amp;$C173,'Smelter Look-up'!$J:$J,0)))</f>
        <v>442</v>
      </c>
      <c r="X173" s="227">
        <f t="shared" si="25"/>
        <v>0</v>
      </c>
      <c r="AB173" s="228" t="str">
        <f t="shared" si="26"/>
        <v>TinGuangdong Hanhe Non-Ferrous Metal Co., Ltd.</v>
      </c>
    </row>
    <row r="174" spans="1:28" s="227" customFormat="1" ht="20.25">
      <c r="A174" s="301" t="s">
        <v>12921</v>
      </c>
      <c r="B174" s="408" t="s">
        <v>1125</v>
      </c>
      <c r="C174" s="409" t="s">
        <v>12920</v>
      </c>
      <c r="D174" s="410"/>
      <c r="E174" s="408" t="s">
        <v>15821</v>
      </c>
      <c r="F174" s="408" t="s">
        <v>12921</v>
      </c>
      <c r="G174" s="408" t="s">
        <v>13240</v>
      </c>
      <c r="H174" s="411"/>
      <c r="I174" s="411" t="s">
        <v>12939</v>
      </c>
      <c r="J174" s="411" t="s">
        <v>12871</v>
      </c>
      <c r="K174" s="224"/>
      <c r="L174" s="224"/>
      <c r="M174" s="224"/>
      <c r="N174" s="224"/>
      <c r="O174" s="224"/>
      <c r="P174" s="185"/>
      <c r="Q174" s="225"/>
      <c r="R174" s="182" t="str">
        <f ca="1">IF(ISERROR($V174),"",OFFSET('Smelter Look-up'!$C$4,$V174-4,0)&amp;"")</f>
        <v>NH Recytech Company</v>
      </c>
      <c r="S174" s="181" t="str">
        <f t="shared" ca="1" si="24"/>
        <v>KR</v>
      </c>
      <c r="T174" s="181" t="str">
        <f ca="1">IF(B174="","",IF(ISERROR(MATCH($J174,SorP!$B$1:$B$6279,0)),"",INDIRECT("'SorP'!$A$"&amp;MATCH($S174&amp;$J174,SorP!C:C,0))))</f>
        <v>KR-41</v>
      </c>
      <c r="U174" s="201"/>
      <c r="V174" s="226">
        <f>IF(C174="",NA(),IF(OR(C174="Smelter not listed",C174="Smelter not yet identified"),MATCH($B174&amp;$D174,'Smelter Look-up'!$J:$J,0),MATCH($B174&amp;$C174,'Smelter Look-up'!$J:$J,0)))</f>
        <v>192</v>
      </c>
      <c r="X174" s="227">
        <f t="shared" si="25"/>
        <v>0</v>
      </c>
      <c r="AB174" s="228" t="str">
        <f t="shared" si="26"/>
        <v>GoldNH Recytech Company</v>
      </c>
    </row>
    <row r="175" spans="1:28" s="227" customFormat="1" ht="20.25">
      <c r="A175" s="301" t="s">
        <v>12930</v>
      </c>
      <c r="B175" s="408" t="s">
        <v>1126</v>
      </c>
      <c r="C175" s="409" t="s">
        <v>12929</v>
      </c>
      <c r="D175" s="410"/>
      <c r="E175" s="408" t="s">
        <v>15818</v>
      </c>
      <c r="F175" s="408" t="s">
        <v>12930</v>
      </c>
      <c r="G175" s="408" t="s">
        <v>13240</v>
      </c>
      <c r="H175" s="411"/>
      <c r="I175" s="411" t="s">
        <v>12948</v>
      </c>
      <c r="J175" s="411" t="s">
        <v>13602</v>
      </c>
      <c r="K175" s="224"/>
      <c r="L175" s="224"/>
      <c r="M175" s="224"/>
      <c r="N175" s="224"/>
      <c r="O175" s="224"/>
      <c r="P175" s="185"/>
      <c r="Q175" s="225"/>
      <c r="R175" s="182" t="str">
        <f ca="1">IF(ISERROR($V175),"",OFFSET('Smelter Look-up'!$C$4,$V175-4,0)&amp;"")</f>
        <v>Chifeng Dajingzi Tin Industry Co., Ltd.</v>
      </c>
      <c r="S175" s="181" t="str">
        <f t="shared" ca="1" si="24"/>
        <v>CN</v>
      </c>
      <c r="T175" s="181" t="str">
        <f ca="1">IF(B175="","",IF(ISERROR(MATCH($J175,SorP!$B$1:$B$6279,0)),"",INDIRECT("'SorP'!$A$"&amp;MATCH($S175&amp;$J175,SorP!C:C,0))))</f>
        <v>CN-NM</v>
      </c>
      <c r="U175" s="201"/>
      <c r="V175" s="226">
        <f>IF(C175="",NA(),IF(OR(C175="Smelter not listed",C175="Smelter not yet identified"),MATCH($B175&amp;$D175,'Smelter Look-up'!$J:$J,0),MATCH($B175&amp;$C175,'Smelter Look-up'!$J:$J,0)))</f>
        <v>401</v>
      </c>
      <c r="X175" s="227">
        <f t="shared" si="25"/>
        <v>0</v>
      </c>
      <c r="AB175" s="228" t="str">
        <f t="shared" si="26"/>
        <v>TinChifeng Dajingzi Tin Industry Co., Ltd.</v>
      </c>
    </row>
    <row r="176" spans="1:28" s="227" customFormat="1" ht="25.5">
      <c r="A176" s="301" t="s">
        <v>14029</v>
      </c>
      <c r="B176" s="408" t="s">
        <v>1126</v>
      </c>
      <c r="C176" s="409" t="s">
        <v>12936</v>
      </c>
      <c r="D176" s="410"/>
      <c r="E176" s="408" t="s">
        <v>15820</v>
      </c>
      <c r="F176" s="408" t="s">
        <v>14029</v>
      </c>
      <c r="G176" s="408" t="s">
        <v>13240</v>
      </c>
      <c r="H176" s="411"/>
      <c r="I176" s="411" t="s">
        <v>15147</v>
      </c>
      <c r="J176" s="411" t="s">
        <v>12852</v>
      </c>
      <c r="K176" s="224"/>
      <c r="L176" s="224"/>
      <c r="M176" s="224"/>
      <c r="N176" s="224"/>
      <c r="O176" s="224"/>
      <c r="P176" s="185"/>
      <c r="Q176" s="225"/>
      <c r="R176" s="182" t="str">
        <f ca="1">IF(ISERROR($V176),"",OFFSET('Smelter Look-up'!$C$4,$V176-4,0)&amp;"")</f>
        <v>PT Bangka Serumpun</v>
      </c>
      <c r="S176" s="181" t="str">
        <f t="shared" ca="1" si="24"/>
        <v>ID</v>
      </c>
      <c r="T176" s="181" t="str">
        <f ca="1">IF(B176="","",IF(ISERROR(MATCH($J176,SorP!$B$1:$B$6279,0)),"",INDIRECT("'SorP'!$A$"&amp;MATCH($S176&amp;$J176,SorP!C:C,0))))</f>
        <v>ID-BB</v>
      </c>
      <c r="U176" s="201"/>
      <c r="V176" s="226">
        <f>IF(C176="",NA(),IF(OR(C176="Smelter not listed",C176="Smelter not yet identified"),MATCH($B176&amp;$D176,'Smelter Look-up'!$J:$J,0),MATCH($B176&amp;$C176,'Smelter Look-up'!$J:$J,0)))</f>
        <v>492</v>
      </c>
      <c r="X176" s="227">
        <f t="shared" si="25"/>
        <v>0</v>
      </c>
      <c r="AB176" s="228" t="str">
        <f t="shared" si="26"/>
        <v>TinPT Bangka Serumpun</v>
      </c>
    </row>
    <row r="177" spans="1:28" s="227" customFormat="1" ht="25.5">
      <c r="A177" s="301" t="s">
        <v>13184</v>
      </c>
      <c r="B177" s="408" t="s">
        <v>1126</v>
      </c>
      <c r="C177" s="409" t="s">
        <v>13183</v>
      </c>
      <c r="D177" s="410"/>
      <c r="E177" s="408" t="s">
        <v>15814</v>
      </c>
      <c r="F177" s="408" t="s">
        <v>13184</v>
      </c>
      <c r="G177" s="408" t="s">
        <v>13240</v>
      </c>
      <c r="H177" s="411"/>
      <c r="I177" s="411" t="s">
        <v>13185</v>
      </c>
      <c r="J177" s="411" t="s">
        <v>1737</v>
      </c>
      <c r="K177" s="224"/>
      <c r="L177" s="224"/>
      <c r="M177" s="224"/>
      <c r="N177" s="224"/>
      <c r="O177" s="224"/>
      <c r="P177" s="185"/>
      <c r="Q177" s="225"/>
      <c r="R177" s="182" t="str">
        <f ca="1">IF(ISERROR($V177),"",OFFSET('Smelter Look-up'!$C$4,$V177-4,0)&amp;"")</f>
        <v>Tin Technology &amp; Refining</v>
      </c>
      <c r="S177" s="181" t="str">
        <f t="shared" ca="1" si="24"/>
        <v>US</v>
      </c>
      <c r="T177" s="181" t="str">
        <f ca="1">IF(B177="","",IF(ISERROR(MATCH($J177,SorP!$B$1:$B$6279,0)),"",INDIRECT("'SorP'!$A$"&amp;MATCH($S177&amp;$J177,SorP!C:C,0))))</f>
        <v>US-PA</v>
      </c>
      <c r="U177" s="201"/>
      <c r="V177" s="226">
        <f>IF(C177="",NA(),IF(OR(C177="Smelter not listed",C177="Smelter not yet identified"),MATCH($B177&amp;$D177,'Smelter Look-up'!$J:$J,0),MATCH($B177&amp;$C177,'Smelter Look-up'!$J:$J,0)))</f>
        <v>530</v>
      </c>
      <c r="X177" s="227">
        <f t="shared" si="25"/>
        <v>0</v>
      </c>
      <c r="AB177" s="228" t="str">
        <f t="shared" si="26"/>
        <v>TinTin Technology &amp; Refining</v>
      </c>
    </row>
    <row r="178" spans="1:28" s="227" customFormat="1" ht="25.5">
      <c r="A178" s="301" t="s">
        <v>15114</v>
      </c>
      <c r="B178" s="408" t="s">
        <v>1126</v>
      </c>
      <c r="C178" s="409" t="s">
        <v>15113</v>
      </c>
      <c r="D178" s="410"/>
      <c r="E178" s="408" t="s">
        <v>15820</v>
      </c>
      <c r="F178" s="408" t="s">
        <v>15114</v>
      </c>
      <c r="G178" s="408" t="s">
        <v>13240</v>
      </c>
      <c r="H178" s="411"/>
      <c r="I178" s="411" t="s">
        <v>15149</v>
      </c>
      <c r="J178" s="411" t="s">
        <v>12852</v>
      </c>
      <c r="K178" s="224"/>
      <c r="L178" s="224"/>
      <c r="M178" s="224"/>
      <c r="N178" s="224"/>
      <c r="O178" s="224"/>
      <c r="P178" s="185"/>
      <c r="Q178" s="225"/>
      <c r="R178" s="182" t="str">
        <f ca="1">IF(ISERROR($V178),"",OFFSET('Smelter Look-up'!$C$4,$V178-4,0)&amp;"")</f>
        <v>PT Rajawali Rimba Perkasa</v>
      </c>
      <c r="S178" s="181" t="str">
        <f t="shared" ca="1" si="24"/>
        <v>ID</v>
      </c>
      <c r="T178" s="181" t="str">
        <f ca="1">IF(B178="","",IF(ISERROR(MATCH($J178,SorP!$B$1:$B$6279,0)),"",INDIRECT("'SorP'!$A$"&amp;MATCH($S178&amp;$J178,SorP!C:C,0))))</f>
        <v>ID-BB</v>
      </c>
      <c r="U178" s="201"/>
      <c r="V178" s="226">
        <f>IF(C178="",NA(),IF(OR(C178="Smelter not listed",C178="Smelter not yet identified"),MATCH($B178&amp;$D178,'Smelter Look-up'!$J:$J,0),MATCH($B178&amp;$C178,'Smelter Look-up'!$J:$J,0)))</f>
        <v>506</v>
      </c>
      <c r="X178" s="227">
        <f t="shared" si="25"/>
        <v>0</v>
      </c>
      <c r="AB178" s="228" t="str">
        <f t="shared" si="26"/>
        <v>TinPT Rajawali Rimba Perkasa</v>
      </c>
    </row>
    <row r="179" spans="1:28" s="227" customFormat="1" ht="20.25">
      <c r="A179" s="301" t="s">
        <v>13867</v>
      </c>
      <c r="B179" s="408" t="s">
        <v>1126</v>
      </c>
      <c r="C179" s="409" t="s">
        <v>13852</v>
      </c>
      <c r="D179" s="410"/>
      <c r="E179" s="408" t="s">
        <v>15847</v>
      </c>
      <c r="F179" s="408" t="s">
        <v>13867</v>
      </c>
      <c r="G179" s="408" t="s">
        <v>13240</v>
      </c>
      <c r="H179" s="411"/>
      <c r="I179" s="411" t="s">
        <v>13879</v>
      </c>
      <c r="J179" s="411" t="s">
        <v>10065</v>
      </c>
      <c r="K179" s="224"/>
      <c r="L179" s="224"/>
      <c r="M179" s="224"/>
      <c r="N179" s="224"/>
      <c r="O179" s="224"/>
      <c r="P179" s="185"/>
      <c r="Q179" s="225"/>
      <c r="R179" s="182" t="str">
        <f ca="1">IF(ISERROR($V179),"",OFFSET('Smelter Look-up'!$C$4,$V179-4,0)&amp;"")</f>
        <v>Luna Smelter, Ltd.</v>
      </c>
      <c r="S179" s="181" t="str">
        <f t="shared" ca="1" si="24"/>
        <v>RW</v>
      </c>
      <c r="T179" s="181" t="str">
        <f ca="1">IF(B179="","",IF(ISERROR(MATCH($J179,SorP!$B$1:$B$6279,0)),"",INDIRECT("'SorP'!$A$"&amp;MATCH($S179&amp;$J179,SorP!C:C,0))))</f>
        <v>RW-01</v>
      </c>
      <c r="U179" s="201"/>
      <c r="V179" s="226">
        <f>IF(C179="",NA(),IF(OR(C179="Smelter not listed",C179="Smelter not yet identified"),MATCH($B179&amp;$D179,'Smelter Look-up'!$J:$J,0),MATCH($B179&amp;$C179,'Smelter Look-up'!$J:$J,0)))</f>
        <v>456</v>
      </c>
      <c r="X179" s="227">
        <f t="shared" si="25"/>
        <v>0</v>
      </c>
      <c r="AB179" s="228" t="str">
        <f t="shared" si="26"/>
        <v>TinLuna Smelter, Ltd.</v>
      </c>
    </row>
    <row r="180" spans="1:28" s="227" customFormat="1" ht="20.25">
      <c r="A180" s="301" t="s">
        <v>13808</v>
      </c>
      <c r="B180" s="408" t="s">
        <v>1126</v>
      </c>
      <c r="C180" s="409" t="s">
        <v>13807</v>
      </c>
      <c r="D180" s="410"/>
      <c r="E180" s="408" t="s">
        <v>15818</v>
      </c>
      <c r="F180" s="408" t="s">
        <v>13808</v>
      </c>
      <c r="G180" s="408" t="s">
        <v>13240</v>
      </c>
      <c r="H180" s="411"/>
      <c r="I180" s="411" t="s">
        <v>2446</v>
      </c>
      <c r="J180" s="411" t="s">
        <v>13628</v>
      </c>
      <c r="K180" s="224"/>
      <c r="L180" s="224"/>
      <c r="M180" s="224"/>
      <c r="N180" s="224"/>
      <c r="O180" s="224"/>
      <c r="P180" s="185"/>
      <c r="Q180" s="225"/>
      <c r="R180" s="182" t="str">
        <f ca="1">IF(ISERROR($V180),"",OFFSET('Smelter Look-up'!$C$4,$V180-4,0)&amp;"")</f>
        <v>Yunnan Yunfan Non-ferrous Metals Co., Ltd.</v>
      </c>
      <c r="S180" s="181" t="str">
        <f t="shared" ca="1" si="24"/>
        <v>CN</v>
      </c>
      <c r="T180" s="181" t="str">
        <f ca="1">IF(B180="","",IF(ISERROR(MATCH($J180,SorP!$B$1:$B$6279,0)),"",INDIRECT("'SorP'!$A$"&amp;MATCH($S180&amp;$J180,SorP!C:C,0))))</f>
        <v>CN-YN</v>
      </c>
      <c r="U180" s="201"/>
      <c r="V180" s="226">
        <f>IF(C180="",NA(),IF(OR(C180="Smelter not listed",C180="Smelter not yet identified"),MATCH($B180&amp;$D180,'Smelter Look-up'!$J:$J,0),MATCH($B180&amp;$C180,'Smelter Look-up'!$J:$J,0)))</f>
        <v>551</v>
      </c>
      <c r="X180" s="227">
        <f t="shared" si="25"/>
        <v>0</v>
      </c>
      <c r="AB180" s="228" t="str">
        <f t="shared" si="26"/>
        <v>TinYunnan Yunfan Non-ferrous Metals Co., Ltd.</v>
      </c>
    </row>
    <row r="181" spans="1:28" s="227" customFormat="1" ht="25.5">
      <c r="A181" s="301" t="s">
        <v>13820</v>
      </c>
      <c r="B181" s="408" t="s">
        <v>1128</v>
      </c>
      <c r="C181" s="409" t="s">
        <v>13819</v>
      </c>
      <c r="D181" s="410"/>
      <c r="E181" s="408" t="s">
        <v>15833</v>
      </c>
      <c r="F181" s="408" t="s">
        <v>13820</v>
      </c>
      <c r="G181" s="408" t="s">
        <v>13240</v>
      </c>
      <c r="H181" s="411"/>
      <c r="I181" s="411" t="s">
        <v>13831</v>
      </c>
      <c r="J181" s="411" t="s">
        <v>11484</v>
      </c>
      <c r="K181" s="224"/>
      <c r="L181" s="224"/>
      <c r="M181" s="224"/>
      <c r="N181" s="224"/>
      <c r="O181" s="224"/>
      <c r="P181" s="185"/>
      <c r="Q181" s="225"/>
      <c r="R181" s="182" t="str">
        <f ca="1">IF(ISERROR($V181),"",OFFSET('Smelter Look-up'!$C$4,$V181-4,0)&amp;"")</f>
        <v>Lianyou Metals Co., Ltd.</v>
      </c>
      <c r="S181" s="181" t="str">
        <f t="shared" ca="1" si="24"/>
        <v>TW</v>
      </c>
      <c r="T181" s="181" t="str">
        <f ca="1">IF(B181="","",IF(ISERROR(MATCH($J181,SorP!$B$1:$B$6279,0)),"",INDIRECT("'SorP'!$A$"&amp;MATCH($S181&amp;$J181,SorP!C:C,0))))</f>
        <v>TW-PIF</v>
      </c>
      <c r="U181" s="201"/>
      <c r="V181" s="226">
        <f>IF(C181="",NA(),IF(OR(C181="Smelter not listed",C181="Smelter not yet identified"),MATCH($B181&amp;$D181,'Smelter Look-up'!$J:$J,0),MATCH($B181&amp;$C181,'Smelter Look-up'!$J:$J,0)))</f>
        <v>613</v>
      </c>
      <c r="X181" s="227">
        <f t="shared" si="25"/>
        <v>0</v>
      </c>
      <c r="AB181" s="228" t="str">
        <f t="shared" si="26"/>
        <v>TungstenLianyou Metals Co., Ltd.</v>
      </c>
    </row>
    <row r="182" spans="1:28" s="227" customFormat="1" ht="20.25">
      <c r="A182" s="301" t="s">
        <v>13861</v>
      </c>
      <c r="B182" s="408" t="s">
        <v>1125</v>
      </c>
      <c r="C182" s="409" t="s">
        <v>13840</v>
      </c>
      <c r="D182" s="410"/>
      <c r="E182" s="408" t="s">
        <v>15808</v>
      </c>
      <c r="F182" s="408" t="s">
        <v>13861</v>
      </c>
      <c r="G182" s="408" t="s">
        <v>13240</v>
      </c>
      <c r="H182" s="411"/>
      <c r="I182" s="411" t="s">
        <v>13876</v>
      </c>
      <c r="J182" s="411" t="s">
        <v>1575</v>
      </c>
      <c r="K182" s="224"/>
      <c r="L182" s="224"/>
      <c r="M182" s="224"/>
      <c r="N182" s="224"/>
      <c r="O182" s="224"/>
      <c r="P182" s="185"/>
      <c r="Q182" s="225"/>
      <c r="R182" s="182" t="str">
        <f ca="1">IF(ISERROR($V182),"",OFFSET('Smelter Look-up'!$C$4,$V182-4,0)&amp;"")</f>
        <v>Eco-System Recycling Co., Ltd. North Plant</v>
      </c>
      <c r="S182" s="181" t="str">
        <f t="shared" ca="1" si="24"/>
        <v>JP</v>
      </c>
      <c r="T182" s="181" t="str">
        <f ca="1">IF(B182="","",IF(ISERROR(MATCH($J182,SorP!$B$1:$B$6279,0)),"",INDIRECT("'SorP'!$A$"&amp;MATCH($S182&amp;$J182,SorP!C:C,0))))</f>
        <v>JP-05</v>
      </c>
      <c r="U182" s="201"/>
      <c r="V182" s="226">
        <f>IF(C182="",NA(),IF(OR(C182="Smelter not listed",C182="Smelter not yet identified"),MATCH($B182&amp;$D182,'Smelter Look-up'!$J:$J,0),MATCH($B182&amp;$C182,'Smelter Look-up'!$J:$J,0)))</f>
        <v>73</v>
      </c>
      <c r="X182" s="227">
        <f t="shared" si="25"/>
        <v>0</v>
      </c>
      <c r="AB182" s="228" t="str">
        <f t="shared" si="26"/>
        <v>GoldEco-System Recycling Co., Ltd. North Plant</v>
      </c>
    </row>
    <row r="183" spans="1:28" s="227" customFormat="1" ht="20.25">
      <c r="A183" s="301" t="s">
        <v>13862</v>
      </c>
      <c r="B183" s="408" t="s">
        <v>1125</v>
      </c>
      <c r="C183" s="409" t="s">
        <v>13841</v>
      </c>
      <c r="D183" s="410"/>
      <c r="E183" s="408" t="s">
        <v>15808</v>
      </c>
      <c r="F183" s="408" t="s">
        <v>13862</v>
      </c>
      <c r="G183" s="408" t="s">
        <v>13240</v>
      </c>
      <c r="H183" s="411"/>
      <c r="I183" s="411" t="s">
        <v>6687</v>
      </c>
      <c r="J183" s="411" t="s">
        <v>6687</v>
      </c>
      <c r="K183" s="224"/>
      <c r="L183" s="224"/>
      <c r="M183" s="224"/>
      <c r="N183" s="224"/>
      <c r="O183" s="224"/>
      <c r="P183" s="185"/>
      <c r="Q183" s="225"/>
      <c r="R183" s="182" t="str">
        <f ca="1">IF(ISERROR($V183),"",OFFSET('Smelter Look-up'!$C$4,$V183-4,0)&amp;"")</f>
        <v>Eco-System Recycling Co., Ltd. West Plant</v>
      </c>
      <c r="S183" s="181" t="str">
        <f t="shared" ca="1" si="24"/>
        <v>JP</v>
      </c>
      <c r="T183" s="181" t="str">
        <f ca="1">IF(B183="","",IF(ISERROR(MATCH($J183,SorP!$B$1:$B$6279,0)),"",INDIRECT("'SorP'!$A$"&amp;MATCH($S183&amp;$J183,SorP!C:C,0))))</f>
        <v>JP-33</v>
      </c>
      <c r="U183" s="201"/>
      <c r="V183" s="226">
        <f>IF(C183="",NA(),IF(OR(C183="Smelter not listed",C183="Smelter not yet identified"),MATCH($B183&amp;$D183,'Smelter Look-up'!$J:$J,0),MATCH($B183&amp;$C183,'Smelter Look-up'!$J:$J,0)))</f>
        <v>74</v>
      </c>
      <c r="X183" s="227">
        <f t="shared" si="25"/>
        <v>0</v>
      </c>
      <c r="AB183" s="228" t="str">
        <f t="shared" si="26"/>
        <v>GoldEco-System Recycling Co., Ltd. West Plant</v>
      </c>
    </row>
    <row r="184" spans="1:28" s="227" customFormat="1" ht="25.5">
      <c r="A184" s="301" t="s">
        <v>13868</v>
      </c>
      <c r="B184" s="408" t="s">
        <v>1126</v>
      </c>
      <c r="C184" s="409" t="s">
        <v>13853</v>
      </c>
      <c r="D184" s="410"/>
      <c r="E184" s="408" t="s">
        <v>15820</v>
      </c>
      <c r="F184" s="408" t="s">
        <v>13868</v>
      </c>
      <c r="G184" s="408" t="s">
        <v>13240</v>
      </c>
      <c r="H184" s="411"/>
      <c r="I184" s="411" t="s">
        <v>15147</v>
      </c>
      <c r="J184" s="411" t="s">
        <v>12852</v>
      </c>
      <c r="K184" s="224"/>
      <c r="L184" s="224"/>
      <c r="M184" s="224"/>
      <c r="N184" s="224"/>
      <c r="O184" s="224"/>
      <c r="P184" s="185"/>
      <c r="Q184" s="225"/>
      <c r="R184" s="182" t="str">
        <f ca="1">IF(ISERROR($V184),"",OFFSET('Smelter Look-up'!$C$4,$V184-4,0)&amp;"")</f>
        <v>PT Mitra Sukses Globalindo</v>
      </c>
      <c r="S184" s="181" t="str">
        <f t="shared" ca="1" si="24"/>
        <v>ID</v>
      </c>
      <c r="T184" s="181" t="str">
        <f ca="1">IF(B184="","",IF(ISERROR(MATCH($J184,SorP!$B$1:$B$6279,0)),"",INDIRECT("'SorP'!$A$"&amp;MATCH($S184&amp;$J184,SorP!C:C,0))))</f>
        <v>ID-BB</v>
      </c>
      <c r="U184" s="201"/>
      <c r="V184" s="226">
        <f>IF(C184="",NA(),IF(OR(C184="Smelter not listed",C184="Smelter not yet identified"),MATCH($B184&amp;$D184,'Smelter Look-up'!$J:$J,0),MATCH($B184&amp;$C184,'Smelter Look-up'!$J:$J,0)))</f>
        <v>501</v>
      </c>
      <c r="X184" s="227">
        <f t="shared" si="25"/>
        <v>0</v>
      </c>
      <c r="AB184" s="228" t="str">
        <f t="shared" si="26"/>
        <v>TinPT Mitra Sukses Globalindo</v>
      </c>
    </row>
    <row r="185" spans="1:28" s="227" customFormat="1" ht="20.25">
      <c r="A185" s="301" t="s">
        <v>13871</v>
      </c>
      <c r="B185" s="408" t="s">
        <v>1128</v>
      </c>
      <c r="C185" s="409" t="s">
        <v>13856</v>
      </c>
      <c r="D185" s="410"/>
      <c r="E185" s="408" t="s">
        <v>15811</v>
      </c>
      <c r="F185" s="408" t="s">
        <v>13871</v>
      </c>
      <c r="G185" s="408" t="s">
        <v>13240</v>
      </c>
      <c r="H185" s="411"/>
      <c r="I185" s="411" t="s">
        <v>13881</v>
      </c>
      <c r="J185" s="411" t="s">
        <v>3461</v>
      </c>
      <c r="K185" s="224"/>
      <c r="L185" s="224"/>
      <c r="M185" s="224"/>
      <c r="N185" s="224"/>
      <c r="O185" s="224"/>
      <c r="P185" s="185"/>
      <c r="Q185" s="225"/>
      <c r="R185" s="182" t="str">
        <f ca="1">IF(ISERROR($V185),"",OFFSET('Smelter Look-up'!$C$4,$V185-4,0)&amp;"")</f>
        <v>Cronimet Brasil Ltda</v>
      </c>
      <c r="S185" s="181" t="str">
        <f t="shared" ca="1" si="24"/>
        <v>BR</v>
      </c>
      <c r="T185" s="181" t="str">
        <f ca="1">IF(B185="","",IF(ISERROR(MATCH($J185,SorP!$B$1:$B$6279,0)),"",INDIRECT("'SorP'!$A$"&amp;MATCH($S185&amp;$J185,SorP!C:C,0))))</f>
        <v>BR-SC</v>
      </c>
      <c r="U185" s="201"/>
      <c r="V185" s="226">
        <f>IF(C185="",NA(),IF(OR(C185="Smelter not listed",C185="Smelter not yet identified"),MATCH($B185&amp;$D185,'Smelter Look-up'!$J:$J,0),MATCH($B185&amp;$C185,'Smelter Look-up'!$J:$J,0)))</f>
        <v>575</v>
      </c>
      <c r="X185" s="227">
        <f t="shared" si="25"/>
        <v>0</v>
      </c>
      <c r="AB185" s="228" t="str">
        <f t="shared" si="26"/>
        <v>TungstenCronimet Brasil Ltda</v>
      </c>
    </row>
    <row r="186" spans="1:28" s="227" customFormat="1" ht="25.5">
      <c r="A186" s="301" t="s">
        <v>15089</v>
      </c>
      <c r="B186" s="408" t="s">
        <v>1126</v>
      </c>
      <c r="C186" s="409" t="s">
        <v>15088</v>
      </c>
      <c r="D186" s="410"/>
      <c r="E186" s="408" t="s">
        <v>15811</v>
      </c>
      <c r="F186" s="408" t="s">
        <v>15089</v>
      </c>
      <c r="G186" s="408" t="s">
        <v>13240</v>
      </c>
      <c r="H186" s="411"/>
      <c r="I186" s="411" t="s">
        <v>15141</v>
      </c>
      <c r="J186" s="411" t="s">
        <v>3461</v>
      </c>
      <c r="K186" s="224"/>
      <c r="L186" s="224"/>
      <c r="M186" s="224"/>
      <c r="N186" s="224"/>
      <c r="O186" s="224"/>
      <c r="P186" s="185"/>
      <c r="Q186" s="225"/>
      <c r="R186" s="182" t="str">
        <f ca="1">IF(ISERROR($V186),"",OFFSET('Smelter Look-up'!$C$4,$V186-4,0)&amp;"")</f>
        <v>CRM Fundicao De Metais E Comercio De Equipamentos Eletronicos Do Brasil Ltda</v>
      </c>
      <c r="S186" s="181" t="str">
        <f t="shared" ca="1" si="24"/>
        <v>BR</v>
      </c>
      <c r="T186" s="181" t="str">
        <f ca="1">IF(B186="","",IF(ISERROR(MATCH($J186,SorP!$B$1:$B$6279,0)),"",INDIRECT("'SorP'!$A$"&amp;MATCH($S186&amp;$J186,SorP!C:C,0))))</f>
        <v>BR-SC</v>
      </c>
      <c r="U186" s="201"/>
      <c r="V186" s="226">
        <f>IF(C186="",NA(),IF(OR(C186="Smelter not listed",C186="Smelter not yet identified"),MATCH($B186&amp;$D186,'Smelter Look-up'!$J:$J,0),MATCH($B186&amp;$C186,'Smelter Look-up'!$J:$J,0)))</f>
        <v>409</v>
      </c>
      <c r="X186" s="227">
        <f t="shared" si="25"/>
        <v>0</v>
      </c>
      <c r="AB186" s="228" t="str">
        <f t="shared" si="26"/>
        <v>TinCRM Fundicao De Metais E Comercio De Equipamentos Eletronicos Do Brasil Ltda</v>
      </c>
    </row>
    <row r="187" spans="1:28" s="227" customFormat="1" ht="20.25">
      <c r="A187" s="301" t="s">
        <v>15092</v>
      </c>
      <c r="B187" s="408" t="s">
        <v>1126</v>
      </c>
      <c r="C187" s="409" t="s">
        <v>15091</v>
      </c>
      <c r="D187" s="410"/>
      <c r="E187" s="408" t="s">
        <v>15834</v>
      </c>
      <c r="F187" s="408" t="s">
        <v>15092</v>
      </c>
      <c r="G187" s="408" t="s">
        <v>13240</v>
      </c>
      <c r="H187" s="411"/>
      <c r="I187" s="411" t="s">
        <v>3651</v>
      </c>
      <c r="J187" s="411" t="s">
        <v>3651</v>
      </c>
      <c r="K187" s="224"/>
      <c r="L187" s="224"/>
      <c r="M187" s="224"/>
      <c r="N187" s="224"/>
      <c r="O187" s="224"/>
      <c r="P187" s="185"/>
      <c r="Q187" s="225"/>
      <c r="R187" s="182" t="str">
        <f ca="1">IF(ISERROR($V187),"",OFFSET('Smelter Look-up'!$C$4,$V187-4,0)&amp;"")</f>
        <v>CRM Synergies</v>
      </c>
      <c r="S187" s="181" t="str">
        <f t="shared" ca="1" si="24"/>
        <v>ES</v>
      </c>
      <c r="T187" s="181" t="str">
        <f ca="1">IF(B187="","",IF(ISERROR(MATCH($J187,SorP!$B$1:$B$6279,0)),"",INDIRECT("'SorP'!$A$"&amp;MATCH($S187&amp;$J187,SorP!C:C,0))))</f>
        <v>ES-TO</v>
      </c>
      <c r="U187" s="201"/>
      <c r="V187" s="226">
        <f>IF(C187="",NA(),IF(OR(C187="Smelter not listed",C187="Smelter not yet identified"),MATCH($B187&amp;$D187,'Smelter Look-up'!$J:$J,0),MATCH($B187&amp;$C187,'Smelter Look-up'!$J:$J,0)))</f>
        <v>411</v>
      </c>
      <c r="X187" s="227">
        <f t="shared" si="25"/>
        <v>0</v>
      </c>
      <c r="AB187" s="228" t="str">
        <f t="shared" si="26"/>
        <v>TinCRM Synergies</v>
      </c>
    </row>
    <row r="188" spans="1:28" s="227" customFormat="1" ht="20.25">
      <c r="A188" s="301" t="s">
        <v>15066</v>
      </c>
      <c r="B188" s="408" t="s">
        <v>1125</v>
      </c>
      <c r="C188" s="409" t="s">
        <v>15065</v>
      </c>
      <c r="D188" s="410"/>
      <c r="E188" s="408" t="s">
        <v>15832</v>
      </c>
      <c r="F188" s="408" t="s">
        <v>15066</v>
      </c>
      <c r="G188" s="408" t="s">
        <v>13240</v>
      </c>
      <c r="H188" s="411"/>
      <c r="I188" s="411" t="s">
        <v>15454</v>
      </c>
      <c r="J188" s="411" t="s">
        <v>1644</v>
      </c>
      <c r="K188" s="224"/>
      <c r="L188" s="224"/>
      <c r="M188" s="224"/>
      <c r="N188" s="224"/>
      <c r="O188" s="224"/>
      <c r="P188" s="185"/>
      <c r="Q188" s="225"/>
      <c r="R188" s="182" t="str">
        <f ca="1">IF(ISERROR($V188),"",OFFSET('Smelter Look-up'!$C$4,$V188-4,0)&amp;"")</f>
        <v>Metal Concentrators SA (Pty) Ltd.</v>
      </c>
      <c r="S188" s="181" t="str">
        <f t="shared" ca="1" si="24"/>
        <v>ZA</v>
      </c>
      <c r="T188" s="181" t="str">
        <f ca="1">IF(B188="","",IF(ISERROR(MATCH($J188,SorP!$B$1:$B$6279,0)),"",INDIRECT("'SorP'!$A$"&amp;MATCH($S188&amp;$J188,SorP!C:C,0))))</f>
        <v>ZA-GP</v>
      </c>
      <c r="U188" s="201"/>
      <c r="V188" s="226">
        <f>IF(C188="",NA(),IF(OR(C188="Smelter not listed",C188="Smelter not yet identified"),MATCH($B188&amp;$D188,'Smelter Look-up'!$J:$J,0),MATCH($B188&amp;$C188,'Smelter Look-up'!$J:$J,0)))</f>
        <v>167</v>
      </c>
      <c r="X188" s="227">
        <f t="shared" si="25"/>
        <v>0</v>
      </c>
      <c r="AB188" s="228" t="str">
        <f t="shared" si="26"/>
        <v>GoldMetal Concentrators SA (Pty) Ltd.</v>
      </c>
    </row>
    <row r="189" spans="1:28" s="227" customFormat="1" ht="20.25">
      <c r="A189" s="301" t="s">
        <v>15100</v>
      </c>
      <c r="B189" s="408" t="s">
        <v>1126</v>
      </c>
      <c r="C189" s="409" t="s">
        <v>15099</v>
      </c>
      <c r="D189" s="410"/>
      <c r="E189" s="408" t="s">
        <v>15811</v>
      </c>
      <c r="F189" s="408" t="s">
        <v>15100</v>
      </c>
      <c r="G189" s="408" t="s">
        <v>13240</v>
      </c>
      <c r="H189" s="411"/>
      <c r="I189" s="411" t="s">
        <v>15144</v>
      </c>
      <c r="J189" s="411" t="s">
        <v>1674</v>
      </c>
      <c r="K189" s="224"/>
      <c r="L189" s="224"/>
      <c r="M189" s="224"/>
      <c r="N189" s="224"/>
      <c r="O189" s="224"/>
      <c r="P189" s="185"/>
      <c r="Q189" s="225"/>
      <c r="R189" s="182" t="str">
        <f ca="1">IF(ISERROR($V189),"",OFFSET('Smelter Look-up'!$C$4,$V189-4,0)&amp;"")</f>
        <v>Fabrica Auricchio Industria e Comercio Ltda.</v>
      </c>
      <c r="S189" s="181" t="str">
        <f t="shared" ca="1" si="24"/>
        <v>BR</v>
      </c>
      <c r="T189" s="181" t="str">
        <f ca="1">IF(B189="","",IF(ISERROR(MATCH($J189,SorP!$B$1:$B$6279,0)),"",INDIRECT("'SorP'!$A$"&amp;MATCH($S189&amp;$J189,SorP!C:C,0))))</f>
        <v>BR-SP</v>
      </c>
      <c r="U189" s="201"/>
      <c r="V189" s="226">
        <f>IF(C189="",NA(),IF(OR(C189="Smelter not listed",C189="Smelter not yet identified"),MATCH($B189&amp;$D189,'Smelter Look-up'!$J:$J,0),MATCH($B189&amp;$C189,'Smelter Look-up'!$J:$J,0)))</f>
        <v>429</v>
      </c>
      <c r="X189" s="227">
        <f t="shared" si="25"/>
        <v>0</v>
      </c>
      <c r="AB189" s="228" t="str">
        <f t="shared" si="26"/>
        <v>TinFabrica Auricchio Industria e Comercio Ltda.</v>
      </c>
    </row>
    <row r="190" spans="1:28" s="227" customFormat="1" ht="25.5">
      <c r="A190" s="301" t="s">
        <v>15086</v>
      </c>
      <c r="B190" s="408" t="s">
        <v>1127</v>
      </c>
      <c r="C190" s="409" t="s">
        <v>15468</v>
      </c>
      <c r="D190" s="410"/>
      <c r="E190" s="408" t="s">
        <v>15818</v>
      </c>
      <c r="F190" s="408" t="s">
        <v>15086</v>
      </c>
      <c r="G190" s="408" t="s">
        <v>13240</v>
      </c>
      <c r="H190" s="411"/>
      <c r="I190" s="411" t="s">
        <v>15140</v>
      </c>
      <c r="J190" s="411" t="s">
        <v>13632</v>
      </c>
      <c r="K190" s="224"/>
      <c r="L190" s="224"/>
      <c r="M190" s="224"/>
      <c r="N190" s="224"/>
      <c r="O190" s="224"/>
      <c r="P190" s="185"/>
      <c r="Q190" s="225"/>
      <c r="R190" s="182" t="str">
        <f ca="1">IF(ISERROR($V190),"",OFFSET('Smelter Look-up'!$C$4,$V190-4,0)&amp;"")</f>
        <v>RFH Yancheng Jinye New Material Technology Co., Ltd.</v>
      </c>
      <c r="S190" s="181" t="str">
        <f t="shared" ca="1" si="24"/>
        <v>CN</v>
      </c>
      <c r="T190" s="181" t="str">
        <f ca="1">IF(B190="","",IF(ISERROR(MATCH($J190,SorP!$B$1:$B$6279,0)),"",INDIRECT("'SorP'!$A$"&amp;MATCH($S190&amp;$J190,SorP!C:C,0))))</f>
        <v>CN-JS</v>
      </c>
      <c r="U190" s="201"/>
      <c r="V190" s="226">
        <f>IF(C190="",NA(),IF(OR(C190="Smelter not listed",C190="Smelter not yet identified"),MATCH($B190&amp;$D190,'Smelter Look-up'!$J:$J,0),MATCH($B190&amp;$C190,'Smelter Look-up'!$J:$J,0)))</f>
        <v>367</v>
      </c>
      <c r="X190" s="227">
        <f t="shared" si="25"/>
        <v>0</v>
      </c>
      <c r="AB190" s="228" t="str">
        <f t="shared" si="26"/>
        <v>TantalumRFH Yancheng Jinye New Material Technology Co., Ltd.</v>
      </c>
    </row>
    <row r="191" spans="1:28" s="227" customFormat="1" ht="20.25">
      <c r="A191" s="301" t="s">
        <v>15078</v>
      </c>
      <c r="B191" s="408" t="s">
        <v>1125</v>
      </c>
      <c r="C191" s="409" t="s">
        <v>15077</v>
      </c>
      <c r="D191" s="410"/>
      <c r="E191" s="408" t="s">
        <v>15842</v>
      </c>
      <c r="F191" s="408" t="s">
        <v>15078</v>
      </c>
      <c r="G191" s="408" t="s">
        <v>13240</v>
      </c>
      <c r="H191" s="411"/>
      <c r="I191" s="411" t="s">
        <v>15462</v>
      </c>
      <c r="J191" s="411" t="s">
        <v>12838</v>
      </c>
      <c r="K191" s="224"/>
      <c r="L191" s="224"/>
      <c r="M191" s="224"/>
      <c r="N191" s="224"/>
      <c r="O191" s="224"/>
      <c r="P191" s="185"/>
      <c r="Q191" s="225"/>
      <c r="R191" s="182" t="str">
        <f ca="1">IF(ISERROR($V191),"",OFFSET('Smelter Look-up'!$C$4,$V191-4,0)&amp;"")</f>
        <v>WEEEREFINING</v>
      </c>
      <c r="S191" s="181" t="str">
        <f t="shared" ca="1" si="24"/>
        <v>FR</v>
      </c>
      <c r="T191" s="181" t="str">
        <f ca="1">IF(B191="","",IF(ISERROR(MATCH($J191,SorP!$B$1:$B$6279,0)),"",INDIRECT("'SorP'!$A$"&amp;MATCH($S191&amp;$J191,SorP!C:C,0))))</f>
        <v>FR-NOR</v>
      </c>
      <c r="U191" s="201"/>
      <c r="V191" s="226">
        <f>IF(C191="",NA(),IF(OR(C191="Smelter not listed",C191="Smelter not yet identified"),MATCH($B191&amp;$D191,'Smelter Look-up'!$J:$J,0),MATCH($B191&amp;$C191,'Smelter Look-up'!$J:$J,0)))</f>
        <v>296</v>
      </c>
      <c r="X191" s="227">
        <f t="shared" si="25"/>
        <v>0</v>
      </c>
      <c r="AB191" s="228" t="str">
        <f t="shared" si="26"/>
        <v>GoldWEEEREFINING</v>
      </c>
    </row>
    <row r="192" spans="1:28" s="227" customFormat="1" ht="20.25">
      <c r="A192" s="301" t="s">
        <v>15452</v>
      </c>
      <c r="B192" s="408" t="s">
        <v>1125</v>
      </c>
      <c r="C192" s="409" t="s">
        <v>15451</v>
      </c>
      <c r="D192" s="410"/>
      <c r="E192" s="408" t="s">
        <v>15848</v>
      </c>
      <c r="F192" s="408" t="s">
        <v>15452</v>
      </c>
      <c r="G192" s="408" t="s">
        <v>13240</v>
      </c>
      <c r="H192" s="411"/>
      <c r="I192" s="411" t="s">
        <v>15453</v>
      </c>
      <c r="J192" s="411" t="s">
        <v>3957</v>
      </c>
      <c r="K192" s="224"/>
      <c r="L192" s="224"/>
      <c r="M192" s="224"/>
      <c r="N192" s="224"/>
      <c r="O192" s="224"/>
      <c r="P192" s="185"/>
      <c r="Q192" s="225"/>
      <c r="R192" s="182" t="str">
        <f ca="1">IF(ISERROR($V192),"",OFFSET('Smelter Look-up'!$C$4,$V192-4,0)&amp;"")</f>
        <v>Gold by Gold Colombia</v>
      </c>
      <c r="S192" s="181" t="str">
        <f t="shared" ca="1" si="24"/>
        <v>CO</v>
      </c>
      <c r="T192" s="181" t="str">
        <f ca="1">IF(B192="","",IF(ISERROR(MATCH($J192,SorP!$B$1:$B$6279,0)),"",INDIRECT("'SorP'!$A$"&amp;MATCH($S192&amp;$J192,SorP!C:C,0))))</f>
        <v>CO-ANT</v>
      </c>
      <c r="U192" s="201"/>
      <c r="V192" s="226">
        <f>IF(C192="",NA(),IF(OR(C192="Smelter not listed",C192="Smelter not yet identified"),MATCH($B192&amp;$D192,'Smelter Look-up'!$J:$J,0),MATCH($B192&amp;$C192,'Smelter Look-up'!$J:$J,0)))</f>
        <v>89</v>
      </c>
      <c r="X192" s="227">
        <f t="shared" si="25"/>
        <v>0</v>
      </c>
      <c r="AB192" s="228" t="str">
        <f t="shared" si="26"/>
        <v>GoldGold by Gold Colombia</v>
      </c>
    </row>
    <row r="193" spans="1:28" s="227" customFormat="1" ht="20.25">
      <c r="A193" s="301" t="s">
        <v>15474</v>
      </c>
      <c r="B193" s="408" t="s">
        <v>1126</v>
      </c>
      <c r="C193" s="409" t="s">
        <v>15473</v>
      </c>
      <c r="D193" s="410"/>
      <c r="E193" s="408" t="s">
        <v>15846</v>
      </c>
      <c r="F193" s="408" t="s">
        <v>15474</v>
      </c>
      <c r="G193" s="408" t="s">
        <v>13240</v>
      </c>
      <c r="H193" s="411"/>
      <c r="I193" s="411" t="s">
        <v>8263</v>
      </c>
      <c r="J193" s="411" t="s">
        <v>8263</v>
      </c>
      <c r="K193" s="224"/>
      <c r="L193" s="224"/>
      <c r="M193" s="224"/>
      <c r="N193" s="224"/>
      <c r="O193" s="224"/>
      <c r="P193" s="185"/>
      <c r="Q193" s="225"/>
      <c r="R193" s="182" t="str">
        <f ca="1">IF(ISERROR($V193),"",OFFSET('Smelter Look-up'!$C$4,$V193-4,0)&amp;"")</f>
        <v>DS Myanmar</v>
      </c>
      <c r="S193" s="181" t="str">
        <f t="shared" ca="1" si="24"/>
        <v>MM</v>
      </c>
      <c r="T193" s="181" t="str">
        <f ca="1">IF(B193="","",IF(ISERROR(MATCH($J193,SorP!$B$1:$B$6279,0)),"",INDIRECT("'SorP'!$A$"&amp;MATCH($S193&amp;$J193,SorP!C:C,0))))</f>
        <v>MM-06</v>
      </c>
      <c r="U193" s="201"/>
      <c r="V193" s="226">
        <f>IF(C193="",NA(),IF(OR(C193="Smelter not listed",C193="Smelter not yet identified"),MATCH($B193&amp;$D193,'Smelter Look-up'!$J:$J,0),MATCH($B193&amp;$C193,'Smelter Look-up'!$J:$J,0)))</f>
        <v>419</v>
      </c>
      <c r="X193" s="227">
        <f t="shared" si="25"/>
        <v>0</v>
      </c>
      <c r="AB193" s="228" t="str">
        <f t="shared" si="26"/>
        <v>TinDS Myanmar</v>
      </c>
    </row>
    <row r="194" spans="1:28" s="227" customFormat="1" ht="25.5">
      <c r="A194" s="301" t="s">
        <v>15491</v>
      </c>
      <c r="B194" s="408" t="s">
        <v>1126</v>
      </c>
      <c r="C194" s="409" t="s">
        <v>15490</v>
      </c>
      <c r="D194" s="410"/>
      <c r="E194" s="408" t="s">
        <v>15820</v>
      </c>
      <c r="F194" s="408" t="s">
        <v>15491</v>
      </c>
      <c r="G194" s="408" t="s">
        <v>13240</v>
      </c>
      <c r="H194" s="411"/>
      <c r="I194" s="411" t="s">
        <v>1767</v>
      </c>
      <c r="J194" s="411" t="s">
        <v>12852</v>
      </c>
      <c r="K194" s="224"/>
      <c r="L194" s="224"/>
      <c r="M194" s="224"/>
      <c r="N194" s="224"/>
      <c r="O194" s="224"/>
      <c r="P194" s="185"/>
      <c r="Q194" s="225"/>
      <c r="R194" s="182" t="str">
        <f ca="1">IF(ISERROR($V194),"",OFFSET('Smelter Look-up'!$C$4,$V194-4,0)&amp;"")</f>
        <v>PT Putera Sarana Shakti (PT PSS)</v>
      </c>
      <c r="S194" s="181" t="str">
        <f t="shared" ca="1" si="24"/>
        <v>ID</v>
      </c>
      <c r="T194" s="181" t="str">
        <f ca="1">IF(B194="","",IF(ISERROR(MATCH($J194,SorP!$B$1:$B$6279,0)),"",INDIRECT("'SorP'!$A$"&amp;MATCH($S194&amp;$J194,SorP!C:C,0))))</f>
        <v>ID-BB</v>
      </c>
      <c r="U194" s="201"/>
      <c r="V194" s="226">
        <f>IF(C194="",NA(),IF(OR(C194="Smelter not listed",C194="Smelter not yet identified"),MATCH($B194&amp;$D194,'Smelter Look-up'!$J:$J,0),MATCH($B194&amp;$C194,'Smelter Look-up'!$J:$J,0)))</f>
        <v>505</v>
      </c>
      <c r="X194" s="227">
        <f t="shared" si="25"/>
        <v>0</v>
      </c>
      <c r="AB194" s="228" t="str">
        <f t="shared" si="26"/>
        <v>TinPT Putera Sarana Shakti (PT PSS)</v>
      </c>
    </row>
    <row r="195" spans="1:28" s="227" customFormat="1" ht="51">
      <c r="A195" s="298"/>
      <c r="B195" s="293"/>
      <c r="C195" s="294"/>
      <c r="D195" s="295"/>
      <c r="E195" s="293"/>
      <c r="F195" s="293"/>
      <c r="G195" s="293"/>
      <c r="H195" s="296"/>
      <c r="I195" s="297"/>
      <c r="J195" s="297"/>
      <c r="K195" s="224"/>
      <c r="L195" s="224"/>
      <c r="M195" s="224"/>
      <c r="N195" s="224"/>
      <c r="O195" s="224"/>
      <c r="P195" s="185"/>
      <c r="Q195" s="225"/>
      <c r="R195" s="182" t="str">
        <f ca="1">IF(ISERROR($V195),"",OFFSET('Smelter Look-up'!$C$4,$V195-4,0)&amp;"")</f>
        <v/>
      </c>
      <c r="S195" s="181" t="str">
        <f t="shared" ca="1" si="24"/>
        <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si="25"/>
        <v>0</v>
      </c>
      <c r="AB195" s="228" t="str">
        <f t="shared" si="26"/>
        <v/>
      </c>
    </row>
    <row r="196" spans="1:28" s="227" customFormat="1" ht="102">
      <c r="A196" s="292"/>
      <c r="B196" s="293"/>
      <c r="C196" s="294"/>
      <c r="D196" s="295"/>
      <c r="E196" s="293"/>
      <c r="F196" s="293"/>
      <c r="G196" s="293"/>
      <c r="H196" s="296"/>
      <c r="I196" s="297"/>
      <c r="J196" s="297"/>
      <c r="K196" s="224"/>
      <c r="L196" s="224"/>
      <c r="M196" s="224"/>
      <c r="N196" s="224"/>
      <c r="O196" s="224"/>
      <c r="P196" s="185"/>
      <c r="Q196" s="225"/>
      <c r="R196" s="182" t="str">
        <f ca="1">IF(ISERROR($V196),"",OFFSET('Smelter Look-up'!$C$4,$V196-4,0)&amp;"")</f>
        <v/>
      </c>
      <c r="S196" s="181" t="str">
        <f t="shared" ca="1" si="24"/>
        <v/>
      </c>
      <c r="T196" s="181" t="str">
        <f ca="1">IF(B196="","",IF(ISERROR(MATCH($J196,SorP!$B$1:$B$6279,0)),"",INDIRECT("'SorP'!$A$"&amp;MATCH($S196&amp;$J196,SorP!C:C,0))))</f>
        <v/>
      </c>
      <c r="U196" s="201"/>
      <c r="V196" s="226" t="e">
        <f>IF(C196="",NA(),IF(OR(C196="Smelter not listed",C196="Smelter not yet identified"),MATCH($B196&amp;$D196,'Smelter Look-up'!$J:$J,0),MATCH($B196&amp;$C196,'Smelter Look-up'!$J:$J,0)))</f>
        <v>#N/A</v>
      </c>
      <c r="X196" s="227">
        <f t="shared" si="25"/>
        <v>0</v>
      </c>
      <c r="AB196" s="228" t="str">
        <f t="shared" si="26"/>
        <v/>
      </c>
    </row>
    <row r="197" spans="1:28" s="227" customFormat="1" ht="63.75">
      <c r="A197" s="298"/>
      <c r="B197" s="293"/>
      <c r="C197" s="294"/>
      <c r="D197" s="295"/>
      <c r="E197" s="293"/>
      <c r="F197" s="293"/>
      <c r="G197" s="293"/>
      <c r="H197" s="296"/>
      <c r="I197" s="297"/>
      <c r="J197" s="297"/>
      <c r="K197" s="224"/>
      <c r="L197" s="224"/>
      <c r="M197" s="224"/>
      <c r="N197" s="224"/>
      <c r="O197" s="224"/>
      <c r="P197" s="185"/>
      <c r="Q197" s="225"/>
      <c r="R197" s="182" t="str">
        <f ca="1">IF(ISERROR($V197),"",OFFSET('Smelter Look-up'!$C$4,$V197-4,0)&amp;"")</f>
        <v/>
      </c>
      <c r="S197" s="181" t="str">
        <f t="shared" ref="S197" ca="1" si="27">IF(B197="","",IF(ISERROR(MATCH($E197,CL,0)),"Unknown",INDIRECT("'C'!$A$"&amp;MATCH($E197,CL,0)+1)))</f>
        <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si="28">IF(AND(C197="Smelter not listed",OR(LEN(D197)=0,LEN(E197)=0)),1,0)</f>
        <v>0</v>
      </c>
      <c r="AB197" s="228" t="str">
        <f t="shared" ref="AB197" si="29">B197&amp;C197</f>
        <v/>
      </c>
    </row>
    <row r="198" spans="1:28" s="227" customFormat="1" ht="63.75">
      <c r="A198" s="298"/>
      <c r="B198" s="293"/>
      <c r="C198" s="294"/>
      <c r="D198" s="295"/>
      <c r="E198" s="293"/>
      <c r="F198" s="293"/>
      <c r="G198" s="293"/>
      <c r="H198" s="296"/>
      <c r="I198" s="297"/>
      <c r="J198" s="297"/>
      <c r="K198" s="224"/>
      <c r="L198" s="224"/>
      <c r="M198" s="224"/>
      <c r="N198" s="224"/>
      <c r="O198" s="224"/>
      <c r="P198" s="185"/>
      <c r="Q198" s="225"/>
      <c r="R198" s="182" t="str">
        <f ca="1">IF(ISERROR($V198),"",OFFSET('Smelter Look-up'!$C$4,$V198-4,0)&amp;"")</f>
        <v/>
      </c>
      <c r="S198" s="181" t="str">
        <f t="shared" ref="S198:S229" ca="1" si="30">IF(B198="","",IF(ISERROR(MATCH($E198,CL,0)),"Unknown",INDIRECT("'C'!$A$"&amp;MATCH($E198,CL,0)+1)))</f>
        <v/>
      </c>
      <c r="T198" s="181" t="str">
        <f ca="1">IF(B198="","",IF(ISERROR(MATCH($J198,SorP!$B$1:$B$6279,0)),"",INDIRECT("'SorP'!$A$"&amp;MATCH($S198&amp;$J198,SorP!C:C,0))))</f>
        <v/>
      </c>
      <c r="U198" s="201"/>
      <c r="V198" s="226" t="e">
        <f>IF(C198="",NA(),IF(OR(C198="Smelter not listed",C198="Smelter not yet identified"),MATCH($B198&amp;$D198,'Smelter Look-up'!$J:$J,0),MATCH($B198&amp;$C198,'Smelter Look-up'!$J:$J,0)))</f>
        <v>#N/A</v>
      </c>
      <c r="X198" s="227">
        <f t="shared" ref="X198:X229" si="31">IF(AND(C198="Smelter not listed",OR(LEN(D198)=0,LEN(E198)=0)),1,0)</f>
        <v>0</v>
      </c>
      <c r="AB198" s="228" t="str">
        <f t="shared" ref="AB198:AB229" si="32">B198&amp;C198</f>
        <v/>
      </c>
    </row>
    <row r="199" spans="1:28" s="227" customFormat="1" ht="76.5">
      <c r="A199" s="298"/>
      <c r="B199" s="293"/>
      <c r="C199" s="294"/>
      <c r="D199" s="295"/>
      <c r="E199" s="293"/>
      <c r="F199" s="293"/>
      <c r="G199" s="293"/>
      <c r="H199" s="296"/>
      <c r="I199" s="297"/>
      <c r="J199" s="297"/>
      <c r="K199" s="224"/>
      <c r="L199" s="224"/>
      <c r="M199" s="224"/>
      <c r="N199" s="224"/>
      <c r="O199" s="224"/>
      <c r="P199" s="185"/>
      <c r="Q199" s="225"/>
      <c r="R199" s="182" t="str">
        <f ca="1">IF(ISERROR($V199),"",OFFSET('Smelter Look-up'!$C$4,$V199-4,0)&amp;"")</f>
        <v/>
      </c>
      <c r="S199" s="181" t="str">
        <f t="shared" ca="1" si="30"/>
        <v/>
      </c>
      <c r="T199" s="181" t="str">
        <f ca="1">IF(B199="","",IF(ISERROR(MATCH($J199,SorP!$B$1:$B$6279,0)),"",INDIRECT("'SorP'!$A$"&amp;MATCH($S199&amp;$J199,SorP!C:C,0))))</f>
        <v/>
      </c>
      <c r="U199" s="201"/>
      <c r="V199" s="226" t="e">
        <f>IF(C199="",NA(),IF(OR(C199="Smelter not listed",C199="Smelter not yet identified"),MATCH($B199&amp;$D199,'Smelter Look-up'!$J:$J,0),MATCH($B199&amp;$C199,'Smelter Look-up'!$J:$J,0)))</f>
        <v>#N/A</v>
      </c>
      <c r="X199" s="227">
        <f t="shared" si="31"/>
        <v>0</v>
      </c>
      <c r="AB199" s="228" t="str">
        <f t="shared" si="32"/>
        <v/>
      </c>
    </row>
    <row r="200" spans="1:28" s="227" customFormat="1" ht="127.5">
      <c r="A200" s="298"/>
      <c r="B200" s="293"/>
      <c r="C200" s="294"/>
      <c r="D200" s="295"/>
      <c r="E200" s="293"/>
      <c r="F200" s="293"/>
      <c r="G200" s="293"/>
      <c r="H200" s="296"/>
      <c r="I200" s="297"/>
      <c r="J200" s="297"/>
      <c r="K200" s="224"/>
      <c r="L200" s="224"/>
      <c r="M200" s="224"/>
      <c r="N200" s="224"/>
      <c r="O200" s="224"/>
      <c r="P200" s="185"/>
      <c r="Q200" s="225"/>
      <c r="R200" s="182" t="str">
        <f ca="1">IF(ISERROR($V200),"",OFFSET('Smelter Look-up'!$C$4,$V200-4,0)&amp;"")</f>
        <v/>
      </c>
      <c r="S200" s="181" t="str">
        <f t="shared" ca="1" si="30"/>
        <v/>
      </c>
      <c r="T200" s="181" t="str">
        <f ca="1">IF(B200="","",IF(ISERROR(MATCH($J200,SorP!$B$1:$B$6279,0)),"",INDIRECT("'SorP'!$A$"&amp;MATCH($S200&amp;$J200,SorP!C:C,0))))</f>
        <v/>
      </c>
      <c r="U200" s="201"/>
      <c r="V200" s="226" t="e">
        <f>IF(C200="",NA(),IF(OR(C200="Smelter not listed",C200="Smelter not yet identified"),MATCH($B200&amp;$D200,'Smelter Look-up'!$J:$J,0),MATCH($B200&amp;$C200,'Smelter Look-up'!$J:$J,0)))</f>
        <v>#N/A</v>
      </c>
      <c r="X200" s="227">
        <f t="shared" si="31"/>
        <v>0</v>
      </c>
      <c r="AB200" s="228" t="str">
        <f t="shared" si="32"/>
        <v/>
      </c>
    </row>
    <row r="201" spans="1:28" s="227" customFormat="1" ht="127.5">
      <c r="A201" s="298"/>
      <c r="B201" s="293"/>
      <c r="C201" s="294"/>
      <c r="D201" s="295"/>
      <c r="E201" s="293"/>
      <c r="F201" s="293"/>
      <c r="G201" s="293"/>
      <c r="H201" s="296"/>
      <c r="I201" s="297"/>
      <c r="J201" s="297"/>
      <c r="K201" s="224"/>
      <c r="L201" s="224"/>
      <c r="M201" s="224"/>
      <c r="N201" s="224"/>
      <c r="O201" s="224"/>
      <c r="P201" s="185"/>
      <c r="Q201" s="225"/>
      <c r="R201" s="182" t="str">
        <f ca="1">IF(ISERROR($V201),"",OFFSET('Smelter Look-up'!$C$4,$V201-4,0)&amp;"")</f>
        <v/>
      </c>
      <c r="S201" s="181" t="str">
        <f t="shared" ca="1" si="30"/>
        <v/>
      </c>
      <c r="T201" s="181" t="str">
        <f ca="1">IF(B201="","",IF(ISERROR(MATCH($J201,SorP!$B$1:$B$6279,0)),"",INDIRECT("'SorP'!$A$"&amp;MATCH($S201&amp;$J201,SorP!C:C,0))))</f>
        <v/>
      </c>
      <c r="U201" s="201"/>
      <c r="V201" s="226" t="e">
        <f>IF(C201="",NA(),IF(OR(C201="Smelter not listed",C201="Smelter not yet identified"),MATCH($B201&amp;$D201,'Smelter Look-up'!$J:$J,0),MATCH($B201&amp;$C201,'Smelter Look-up'!$J:$J,0)))</f>
        <v>#N/A</v>
      </c>
      <c r="X201" s="227">
        <f t="shared" si="31"/>
        <v>0</v>
      </c>
      <c r="AB201" s="228" t="str">
        <f t="shared" si="32"/>
        <v/>
      </c>
    </row>
    <row r="202" spans="1:28" s="227" customFormat="1" ht="76.5">
      <c r="A202" s="298"/>
      <c r="B202" s="293"/>
      <c r="C202" s="294"/>
      <c r="D202" s="295"/>
      <c r="E202" s="293"/>
      <c r="F202" s="293"/>
      <c r="G202" s="293"/>
      <c r="H202" s="296"/>
      <c r="I202" s="297"/>
      <c r="J202" s="297"/>
      <c r="K202" s="224"/>
      <c r="L202" s="224"/>
      <c r="M202" s="224"/>
      <c r="N202" s="224"/>
      <c r="O202" s="224"/>
      <c r="P202" s="185"/>
      <c r="Q202" s="225"/>
      <c r="R202" s="182" t="str">
        <f ca="1">IF(ISERROR($V202),"",OFFSET('Smelter Look-up'!$C$4,$V202-4,0)&amp;"")</f>
        <v/>
      </c>
      <c r="S202" s="181" t="str">
        <f t="shared" ca="1" si="30"/>
        <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si="31"/>
        <v>0</v>
      </c>
      <c r="AB202" s="228" t="str">
        <f t="shared" si="32"/>
        <v/>
      </c>
    </row>
    <row r="203" spans="1:28" s="227" customFormat="1" ht="76.5">
      <c r="A203" s="298"/>
      <c r="B203" s="293"/>
      <c r="C203" s="294"/>
      <c r="D203" s="295"/>
      <c r="E203" s="293"/>
      <c r="F203" s="293"/>
      <c r="G203" s="293"/>
      <c r="H203" s="296"/>
      <c r="I203" s="297"/>
      <c r="J203" s="297"/>
      <c r="K203" s="224"/>
      <c r="L203" s="224"/>
      <c r="M203" s="224"/>
      <c r="N203" s="224"/>
      <c r="O203" s="224"/>
      <c r="P203" s="185"/>
      <c r="Q203" s="225"/>
      <c r="R203" s="182" t="str">
        <f ca="1">IF(ISERROR($V203),"",OFFSET('Smelter Look-up'!$C$4,$V203-4,0)&amp;"")</f>
        <v/>
      </c>
      <c r="S203" s="181" t="str">
        <f t="shared" ca="1" si="30"/>
        <v/>
      </c>
      <c r="T203" s="181" t="str">
        <f ca="1">IF(B203="","",IF(ISERROR(MATCH($J203,SorP!$B$1:$B$6279,0)),"",INDIRECT("'SorP'!$A$"&amp;MATCH($S203&amp;$J203,SorP!C:C,0))))</f>
        <v/>
      </c>
      <c r="U203" s="201"/>
      <c r="V203" s="226" t="e">
        <f>IF(C203="",NA(),IF(OR(C203="Smelter not listed",C203="Smelter not yet identified"),MATCH($B203&amp;$D203,'Smelter Look-up'!$J:$J,0),MATCH($B203&amp;$C203,'Smelter Look-up'!$J:$J,0)))</f>
        <v>#N/A</v>
      </c>
      <c r="X203" s="227">
        <f t="shared" si="31"/>
        <v>0</v>
      </c>
      <c r="AB203" s="228" t="str">
        <f t="shared" si="32"/>
        <v/>
      </c>
    </row>
    <row r="204" spans="1:28" s="227" customFormat="1" ht="102">
      <c r="A204" s="298"/>
      <c r="B204" s="293"/>
      <c r="C204" s="294"/>
      <c r="D204" s="295"/>
      <c r="E204" s="293"/>
      <c r="F204" s="293"/>
      <c r="G204" s="293"/>
      <c r="H204" s="296"/>
      <c r="I204" s="297"/>
      <c r="J204" s="297"/>
      <c r="K204" s="224"/>
      <c r="L204" s="224"/>
      <c r="M204" s="224"/>
      <c r="N204" s="224"/>
      <c r="O204" s="224"/>
      <c r="P204" s="185"/>
      <c r="Q204" s="225"/>
      <c r="R204" s="182" t="str">
        <f ca="1">IF(ISERROR($V204),"",OFFSET('Smelter Look-up'!$C$4,$V204-4,0)&amp;"")</f>
        <v/>
      </c>
      <c r="S204" s="181" t="str">
        <f t="shared" ca="1" si="30"/>
        <v/>
      </c>
      <c r="T204" s="181" t="str">
        <f ca="1">IF(B204="","",IF(ISERROR(MATCH($J204,SorP!$B$1:$B$6279,0)),"",INDIRECT("'SorP'!$A$"&amp;MATCH($S204&amp;$J204,SorP!C:C,0))))</f>
        <v/>
      </c>
      <c r="U204" s="201"/>
      <c r="V204" s="226" t="e">
        <f>IF(C204="",NA(),IF(OR(C204="Smelter not listed",C204="Smelter not yet identified"),MATCH($B204&amp;$D204,'Smelter Look-up'!$J:$J,0),MATCH($B204&amp;$C204,'Smelter Look-up'!$J:$J,0)))</f>
        <v>#N/A</v>
      </c>
      <c r="X204" s="227">
        <f t="shared" si="31"/>
        <v>0</v>
      </c>
      <c r="AB204" s="228" t="str">
        <f t="shared" si="32"/>
        <v/>
      </c>
    </row>
    <row r="205" spans="1:28" s="227" customFormat="1" ht="76.5">
      <c r="A205" s="298"/>
      <c r="B205" s="293"/>
      <c r="C205" s="294"/>
      <c r="D205" s="295"/>
      <c r="E205" s="293"/>
      <c r="F205" s="293"/>
      <c r="G205" s="293"/>
      <c r="H205" s="296"/>
      <c r="I205" s="297"/>
      <c r="J205" s="297"/>
      <c r="K205" s="224"/>
      <c r="L205" s="224"/>
      <c r="M205" s="224"/>
      <c r="N205" s="224"/>
      <c r="O205" s="224"/>
      <c r="P205" s="185"/>
      <c r="Q205" s="225"/>
      <c r="R205" s="182" t="str">
        <f ca="1">IF(ISERROR($V205),"",OFFSET('Smelter Look-up'!$C$4,$V205-4,0)&amp;"")</f>
        <v/>
      </c>
      <c r="S205" s="181" t="str">
        <f t="shared" ca="1" si="30"/>
        <v/>
      </c>
      <c r="T205" s="181" t="str">
        <f ca="1">IF(B205="","",IF(ISERROR(MATCH($J205,SorP!$B$1:$B$6279,0)),"",INDIRECT("'SorP'!$A$"&amp;MATCH($S205&amp;$J205,SorP!C:C,0))))</f>
        <v/>
      </c>
      <c r="U205" s="201"/>
      <c r="V205" s="226" t="e">
        <f>IF(C205="",NA(),IF(OR(C205="Smelter not listed",C205="Smelter not yet identified"),MATCH($B205&amp;$D205,'Smelter Look-up'!$J:$J,0),MATCH($B205&amp;$C205,'Smelter Look-up'!$J:$J,0)))</f>
        <v>#N/A</v>
      </c>
      <c r="X205" s="227">
        <f t="shared" si="31"/>
        <v>0</v>
      </c>
      <c r="AB205" s="228" t="str">
        <f t="shared" si="32"/>
        <v/>
      </c>
    </row>
    <row r="206" spans="1:28" s="227" customFormat="1" ht="63.75">
      <c r="A206" s="298"/>
      <c r="B206" s="293"/>
      <c r="C206" s="294"/>
      <c r="D206" s="295"/>
      <c r="E206" s="293"/>
      <c r="F206" s="293"/>
      <c r="G206" s="293"/>
      <c r="H206" s="296"/>
      <c r="I206" s="297"/>
      <c r="J206" s="297"/>
      <c r="K206" s="224"/>
      <c r="L206" s="224"/>
      <c r="M206" s="224"/>
      <c r="N206" s="224"/>
      <c r="O206" s="224"/>
      <c r="P206" s="185"/>
      <c r="Q206" s="225"/>
      <c r="R206" s="182" t="str">
        <f ca="1">IF(ISERROR($V206),"",OFFSET('Smelter Look-up'!$C$4,$V206-4,0)&amp;"")</f>
        <v/>
      </c>
      <c r="S206" s="181" t="str">
        <f t="shared" ca="1" si="30"/>
        <v/>
      </c>
      <c r="T206" s="181" t="str">
        <f ca="1">IF(B206="","",IF(ISERROR(MATCH($J206,SorP!$B$1:$B$6279,0)),"",INDIRECT("'SorP'!$A$"&amp;MATCH($S206&amp;$J206,SorP!C:C,0))))</f>
        <v/>
      </c>
      <c r="U206" s="201"/>
      <c r="V206" s="226" t="e">
        <f>IF(C206="",NA(),IF(OR(C206="Smelter not listed",C206="Smelter not yet identified"),MATCH($B206&amp;$D206,'Smelter Look-up'!$J:$J,0),MATCH($B206&amp;$C206,'Smelter Look-up'!$J:$J,0)))</f>
        <v>#N/A</v>
      </c>
      <c r="X206" s="227">
        <f t="shared" si="31"/>
        <v>0</v>
      </c>
      <c r="AB206" s="228" t="str">
        <f t="shared" si="32"/>
        <v/>
      </c>
    </row>
    <row r="207" spans="1:28" s="227" customFormat="1" ht="63.75">
      <c r="A207" s="298"/>
      <c r="B207" s="293"/>
      <c r="C207" s="294"/>
      <c r="D207" s="295"/>
      <c r="E207" s="293"/>
      <c r="F207" s="293"/>
      <c r="G207" s="293"/>
      <c r="H207" s="296"/>
      <c r="I207" s="297"/>
      <c r="J207" s="297"/>
      <c r="K207" s="224"/>
      <c r="L207" s="224"/>
      <c r="M207" s="224"/>
      <c r="N207" s="224"/>
      <c r="O207" s="224"/>
      <c r="P207" s="185"/>
      <c r="Q207" s="225"/>
      <c r="R207" s="182" t="str">
        <f ca="1">IF(ISERROR($V207),"",OFFSET('Smelter Look-up'!$C$4,$V207-4,0)&amp;"")</f>
        <v/>
      </c>
      <c r="S207" s="181" t="str">
        <f t="shared" ca="1" si="30"/>
        <v/>
      </c>
      <c r="T207" s="181" t="str">
        <f ca="1">IF(B207="","",IF(ISERROR(MATCH($J207,SorP!$B$1:$B$6279,0)),"",INDIRECT("'SorP'!$A$"&amp;MATCH($S207&amp;$J207,SorP!C:C,0))))</f>
        <v/>
      </c>
      <c r="U207" s="201"/>
      <c r="V207" s="226" t="e">
        <f>IF(C207="",NA(),IF(OR(C207="Smelter not listed",C207="Smelter not yet identified"),MATCH($B207&amp;$D207,'Smelter Look-up'!$J:$J,0),MATCH($B207&amp;$C207,'Smelter Look-up'!$J:$J,0)))</f>
        <v>#N/A</v>
      </c>
      <c r="X207" s="227">
        <f t="shared" si="31"/>
        <v>0</v>
      </c>
      <c r="AB207" s="228" t="str">
        <f t="shared" si="32"/>
        <v/>
      </c>
    </row>
    <row r="208" spans="1:28" s="227" customFormat="1" ht="76.5">
      <c r="A208" s="298"/>
      <c r="B208" s="293"/>
      <c r="C208" s="294"/>
      <c r="D208" s="295"/>
      <c r="E208" s="293"/>
      <c r="F208" s="293"/>
      <c r="G208" s="293"/>
      <c r="H208" s="296"/>
      <c r="I208" s="297"/>
      <c r="J208" s="297"/>
      <c r="K208" s="224"/>
      <c r="L208" s="224"/>
      <c r="M208" s="224"/>
      <c r="N208" s="224"/>
      <c r="O208" s="224"/>
      <c r="P208" s="185"/>
      <c r="Q208" s="225"/>
      <c r="R208" s="182" t="str">
        <f ca="1">IF(ISERROR($V208),"",OFFSET('Smelter Look-up'!$C$4,$V208-4,0)&amp;"")</f>
        <v/>
      </c>
      <c r="S208" s="181" t="str">
        <f t="shared" ca="1" si="30"/>
        <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si="31"/>
        <v>0</v>
      </c>
      <c r="AB208" s="228" t="str">
        <f t="shared" si="32"/>
        <v/>
      </c>
    </row>
    <row r="209" spans="1:28" s="227" customFormat="1" ht="102">
      <c r="A209" s="298"/>
      <c r="B209" s="293"/>
      <c r="C209" s="294"/>
      <c r="D209" s="295"/>
      <c r="E209" s="293"/>
      <c r="F209" s="293"/>
      <c r="G209" s="293"/>
      <c r="H209" s="296"/>
      <c r="I209" s="297"/>
      <c r="J209" s="297"/>
      <c r="K209" s="224"/>
      <c r="L209" s="224"/>
      <c r="M209" s="224"/>
      <c r="N209" s="224"/>
      <c r="O209" s="224"/>
      <c r="P209" s="185"/>
      <c r="Q209" s="225"/>
      <c r="R209" s="182" t="str">
        <f ca="1">IF(ISERROR($V209),"",OFFSET('Smelter Look-up'!$C$4,$V209-4,0)&amp;"")</f>
        <v/>
      </c>
      <c r="S209" s="181" t="str">
        <f t="shared" ca="1" si="30"/>
        <v/>
      </c>
      <c r="T209" s="181" t="str">
        <f ca="1">IF(B209="","",IF(ISERROR(MATCH($J209,SorP!$B$1:$B$6279,0)),"",INDIRECT("'SorP'!$A$"&amp;MATCH($S209&amp;$J209,SorP!C:C,0))))</f>
        <v/>
      </c>
      <c r="U209" s="201"/>
      <c r="V209" s="226" t="e">
        <f>IF(C209="",NA(),IF(OR(C209="Smelter not listed",C209="Smelter not yet identified"),MATCH($B209&amp;$D209,'Smelter Look-up'!$J:$J,0),MATCH($B209&amp;$C209,'Smelter Look-up'!$J:$J,0)))</f>
        <v>#N/A</v>
      </c>
      <c r="X209" s="227">
        <f t="shared" si="31"/>
        <v>0</v>
      </c>
      <c r="AB209" s="228" t="str">
        <f t="shared" si="32"/>
        <v/>
      </c>
    </row>
    <row r="210" spans="1:28" s="227" customFormat="1" ht="51">
      <c r="A210" s="298"/>
      <c r="B210" s="293"/>
      <c r="C210" s="294"/>
      <c r="D210" s="295"/>
      <c r="E210" s="293"/>
      <c r="F210" s="293"/>
      <c r="G210" s="293"/>
      <c r="H210" s="296"/>
      <c r="I210" s="297"/>
      <c r="J210" s="297"/>
      <c r="K210" s="224"/>
      <c r="L210" s="224"/>
      <c r="M210" s="224"/>
      <c r="N210" s="224"/>
      <c r="O210" s="224"/>
      <c r="P210" s="185"/>
      <c r="Q210" s="225"/>
      <c r="R210" s="182" t="str">
        <f ca="1">IF(ISERROR($V210),"",OFFSET('Smelter Look-up'!$C$4,$V210-4,0)&amp;"")</f>
        <v/>
      </c>
      <c r="S210" s="181" t="str">
        <f t="shared" ca="1" si="30"/>
        <v/>
      </c>
      <c r="T210" s="181" t="str">
        <f ca="1">IF(B210="","",IF(ISERROR(MATCH($J210,SorP!$B$1:$B$6279,0)),"",INDIRECT("'SorP'!$A$"&amp;MATCH($S210&amp;$J210,SorP!C:C,0))))</f>
        <v/>
      </c>
      <c r="U210" s="201"/>
      <c r="V210" s="226" t="e">
        <f>IF(C210="",NA(),IF(OR(C210="Smelter not listed",C210="Smelter not yet identified"),MATCH($B210&amp;$D210,'Smelter Look-up'!$J:$J,0),MATCH($B210&amp;$C210,'Smelter Look-up'!$J:$J,0)))</f>
        <v>#N/A</v>
      </c>
      <c r="X210" s="227">
        <f t="shared" si="31"/>
        <v>0</v>
      </c>
      <c r="AB210" s="228" t="str">
        <f t="shared" si="32"/>
        <v/>
      </c>
    </row>
    <row r="211" spans="1:28" s="227" customFormat="1" ht="63.75">
      <c r="A211" s="298"/>
      <c r="B211" s="293"/>
      <c r="C211" s="294"/>
      <c r="D211" s="295"/>
      <c r="E211" s="293"/>
      <c r="F211" s="293"/>
      <c r="G211" s="293"/>
      <c r="H211" s="296"/>
      <c r="I211" s="297"/>
      <c r="J211" s="297"/>
      <c r="K211" s="224"/>
      <c r="L211" s="224"/>
      <c r="M211" s="224"/>
      <c r="N211" s="224"/>
      <c r="O211" s="224"/>
      <c r="P211" s="185"/>
      <c r="Q211" s="225"/>
      <c r="R211" s="182" t="str">
        <f ca="1">IF(ISERROR($V211),"",OFFSET('Smelter Look-up'!$C$4,$V211-4,0)&amp;"")</f>
        <v/>
      </c>
      <c r="S211" s="181" t="str">
        <f t="shared" ca="1" si="30"/>
        <v/>
      </c>
      <c r="T211" s="181" t="str">
        <f ca="1">IF(B211="","",IF(ISERROR(MATCH($J211,SorP!$B$1:$B$6279,0)),"",INDIRECT("'SorP'!$A$"&amp;MATCH($S211&amp;$J211,SorP!C:C,0))))</f>
        <v/>
      </c>
      <c r="U211" s="201"/>
      <c r="V211" s="226" t="e">
        <f>IF(C211="",NA(),IF(OR(C211="Smelter not listed",C211="Smelter not yet identified"),MATCH($B211&amp;$D211,'Smelter Look-up'!$J:$J,0),MATCH($B211&amp;$C211,'Smelter Look-up'!$J:$J,0)))</f>
        <v>#N/A</v>
      </c>
      <c r="X211" s="227">
        <f t="shared" si="31"/>
        <v>0</v>
      </c>
      <c r="AB211" s="228" t="str">
        <f t="shared" si="32"/>
        <v/>
      </c>
    </row>
    <row r="212" spans="1:28" s="227" customFormat="1" ht="76.5">
      <c r="A212" s="298"/>
      <c r="B212" s="293"/>
      <c r="C212" s="294"/>
      <c r="D212" s="295"/>
      <c r="E212" s="293"/>
      <c r="F212" s="293"/>
      <c r="G212" s="293"/>
      <c r="H212" s="296"/>
      <c r="I212" s="297"/>
      <c r="J212" s="297"/>
      <c r="K212" s="224"/>
      <c r="L212" s="224"/>
      <c r="M212" s="224"/>
      <c r="N212" s="224"/>
      <c r="O212" s="224"/>
      <c r="P212" s="185"/>
      <c r="Q212" s="225"/>
      <c r="R212" s="182" t="str">
        <f ca="1">IF(ISERROR($V212),"",OFFSET('Smelter Look-up'!$C$4,$V212-4,0)&amp;"")</f>
        <v/>
      </c>
      <c r="S212" s="181" t="str">
        <f t="shared" ca="1" si="30"/>
        <v/>
      </c>
      <c r="T212" s="181" t="str">
        <f ca="1">IF(B212="","",IF(ISERROR(MATCH($J212,SorP!$B$1:$B$6279,0)),"",INDIRECT("'SorP'!$A$"&amp;MATCH($S212&amp;$J212,SorP!C:C,0))))</f>
        <v/>
      </c>
      <c r="U212" s="201"/>
      <c r="V212" s="226" t="e">
        <f>IF(C212="",NA(),IF(OR(C212="Smelter not listed",C212="Smelter not yet identified"),MATCH($B212&amp;$D212,'Smelter Look-up'!$J:$J,0),MATCH($B212&amp;$C212,'Smelter Look-up'!$J:$J,0)))</f>
        <v>#N/A</v>
      </c>
      <c r="X212" s="227">
        <f t="shared" si="31"/>
        <v>0</v>
      </c>
      <c r="AB212" s="228" t="str">
        <f t="shared" si="32"/>
        <v/>
      </c>
    </row>
    <row r="213" spans="1:28" s="227" customFormat="1" ht="76.5">
      <c r="A213" s="298"/>
      <c r="B213" s="293"/>
      <c r="C213" s="294"/>
      <c r="D213" s="295"/>
      <c r="E213" s="293"/>
      <c r="F213" s="293"/>
      <c r="G213" s="293"/>
      <c r="H213" s="296"/>
      <c r="I213" s="297"/>
      <c r="J213" s="297"/>
      <c r="K213" s="224"/>
      <c r="L213" s="224"/>
      <c r="M213" s="224"/>
      <c r="N213" s="224"/>
      <c r="O213" s="224"/>
      <c r="P213" s="185"/>
      <c r="Q213" s="225"/>
      <c r="R213" s="182" t="str">
        <f ca="1">IF(ISERROR($V213),"",OFFSET('Smelter Look-up'!$C$4,$V213-4,0)&amp;"")</f>
        <v/>
      </c>
      <c r="S213" s="181" t="str">
        <f t="shared" ca="1" si="30"/>
        <v/>
      </c>
      <c r="T213" s="181" t="str">
        <f ca="1">IF(B213="","",IF(ISERROR(MATCH($J213,SorP!$B$1:$B$6279,0)),"",INDIRECT("'SorP'!$A$"&amp;MATCH($S213&amp;$J213,SorP!C:C,0))))</f>
        <v/>
      </c>
      <c r="U213" s="201"/>
      <c r="V213" s="226" t="e">
        <f>IF(C213="",NA(),IF(OR(C213="Smelter not listed",C213="Smelter not yet identified"),MATCH($B213&amp;$D213,'Smelter Look-up'!$J:$J,0),MATCH($B213&amp;$C213,'Smelter Look-up'!$J:$J,0)))</f>
        <v>#N/A</v>
      </c>
      <c r="X213" s="227">
        <f t="shared" si="31"/>
        <v>0</v>
      </c>
      <c r="AB213" s="228" t="str">
        <f t="shared" si="32"/>
        <v/>
      </c>
    </row>
    <row r="214" spans="1:28" s="227" customFormat="1" ht="51">
      <c r="A214" s="298"/>
      <c r="B214" s="293"/>
      <c r="C214" s="294"/>
      <c r="D214" s="295"/>
      <c r="E214" s="293"/>
      <c r="F214" s="293"/>
      <c r="G214" s="293"/>
      <c r="H214" s="296"/>
      <c r="I214" s="297"/>
      <c r="J214" s="297"/>
      <c r="K214" s="224"/>
      <c r="L214" s="224"/>
      <c r="M214" s="224"/>
      <c r="N214" s="224"/>
      <c r="O214" s="224"/>
      <c r="P214" s="185"/>
      <c r="Q214" s="225"/>
      <c r="R214" s="182" t="str">
        <f ca="1">IF(ISERROR($V214),"",OFFSET('Smelter Look-up'!$C$4,$V214-4,0)&amp;"")</f>
        <v/>
      </c>
      <c r="S214" s="181" t="str">
        <f t="shared" ca="1" si="30"/>
        <v/>
      </c>
      <c r="T214" s="181" t="str">
        <f ca="1">IF(B214="","",IF(ISERROR(MATCH($J214,SorP!$B$1:$B$6279,0)),"",INDIRECT("'SorP'!$A$"&amp;MATCH($S214&amp;$J214,SorP!C:C,0))))</f>
        <v/>
      </c>
      <c r="U214" s="201"/>
      <c r="V214" s="226" t="e">
        <f>IF(C214="",NA(),IF(OR(C214="Smelter not listed",C214="Smelter not yet identified"),MATCH($B214&amp;$D214,'Smelter Look-up'!$J:$J,0),MATCH($B214&amp;$C214,'Smelter Look-up'!$J:$J,0)))</f>
        <v>#N/A</v>
      </c>
      <c r="X214" s="227">
        <f t="shared" si="31"/>
        <v>0</v>
      </c>
      <c r="AB214" s="228" t="str">
        <f t="shared" si="32"/>
        <v/>
      </c>
    </row>
    <row r="215" spans="1:28" s="227" customFormat="1" ht="51">
      <c r="A215" s="298"/>
      <c r="B215" s="293"/>
      <c r="C215" s="294"/>
      <c r="D215" s="295"/>
      <c r="E215" s="293"/>
      <c r="F215" s="293"/>
      <c r="G215" s="293"/>
      <c r="H215" s="296"/>
      <c r="I215" s="297"/>
      <c r="J215" s="297"/>
      <c r="K215" s="224"/>
      <c r="L215" s="224"/>
      <c r="M215" s="224"/>
      <c r="N215" s="224"/>
      <c r="O215" s="224"/>
      <c r="P215" s="185"/>
      <c r="Q215" s="225"/>
      <c r="R215" s="182" t="str">
        <f ca="1">IF(ISERROR($V215),"",OFFSET('Smelter Look-up'!$C$4,$V215-4,0)&amp;"")</f>
        <v/>
      </c>
      <c r="S215" s="181" t="str">
        <f t="shared" ca="1" si="30"/>
        <v/>
      </c>
      <c r="T215" s="181" t="str">
        <f ca="1">IF(B215="","",IF(ISERROR(MATCH($J215,SorP!$B$1:$B$6279,0)),"",INDIRECT("'SorP'!$A$"&amp;MATCH($S215&amp;$J215,SorP!C:C,0))))</f>
        <v/>
      </c>
      <c r="U215" s="201"/>
      <c r="V215" s="226" t="e">
        <f>IF(C215="",NA(),IF(OR(C215="Smelter not listed",C215="Smelter not yet identified"),MATCH($B215&amp;$D215,'Smelter Look-up'!$J:$J,0),MATCH($B215&amp;$C215,'Smelter Look-up'!$J:$J,0)))</f>
        <v>#N/A</v>
      </c>
      <c r="X215" s="227">
        <f t="shared" si="31"/>
        <v>0</v>
      </c>
      <c r="AB215" s="228" t="str">
        <f t="shared" si="32"/>
        <v/>
      </c>
    </row>
    <row r="216" spans="1:28" s="227" customFormat="1" ht="76.5">
      <c r="A216" s="298"/>
      <c r="B216" s="293"/>
      <c r="C216" s="294"/>
      <c r="D216" s="295"/>
      <c r="E216" s="293"/>
      <c r="F216" s="293"/>
      <c r="G216" s="293"/>
      <c r="H216" s="296"/>
      <c r="I216" s="297"/>
      <c r="J216" s="297"/>
      <c r="K216" s="224"/>
      <c r="L216" s="224"/>
      <c r="M216" s="224"/>
      <c r="N216" s="224"/>
      <c r="O216" s="224"/>
      <c r="P216" s="185"/>
      <c r="Q216" s="225"/>
      <c r="R216" s="182" t="str">
        <f ca="1">IF(ISERROR($V216),"",OFFSET('Smelter Look-up'!$C$4,$V216-4,0)&amp;"")</f>
        <v/>
      </c>
      <c r="S216" s="181" t="str">
        <f t="shared" ca="1" si="30"/>
        <v/>
      </c>
      <c r="T216" s="181" t="str">
        <f ca="1">IF(B216="","",IF(ISERROR(MATCH($J216,SorP!$B$1:$B$6279,0)),"",INDIRECT("'SorP'!$A$"&amp;MATCH($S216&amp;$J216,SorP!C:C,0))))</f>
        <v/>
      </c>
      <c r="U216" s="201"/>
      <c r="V216" s="226" t="e">
        <f>IF(C216="",NA(),IF(OR(C216="Smelter not listed",C216="Smelter not yet identified"),MATCH($B216&amp;$D216,'Smelter Look-up'!$J:$J,0),MATCH($B216&amp;$C216,'Smelter Look-up'!$J:$J,0)))</f>
        <v>#N/A</v>
      </c>
      <c r="X216" s="227">
        <f t="shared" si="31"/>
        <v>0</v>
      </c>
      <c r="AB216" s="228" t="str">
        <f t="shared" si="32"/>
        <v/>
      </c>
    </row>
    <row r="217" spans="1:28" s="227" customFormat="1" ht="76.5">
      <c r="A217" s="298"/>
      <c r="B217" s="293"/>
      <c r="C217" s="294"/>
      <c r="D217" s="295"/>
      <c r="E217" s="293"/>
      <c r="F217" s="293"/>
      <c r="G217" s="293"/>
      <c r="H217" s="296"/>
      <c r="I217" s="297"/>
      <c r="J217" s="297"/>
      <c r="K217" s="224"/>
      <c r="L217" s="224"/>
      <c r="M217" s="224"/>
      <c r="N217" s="224"/>
      <c r="O217" s="224"/>
      <c r="P217" s="185"/>
      <c r="Q217" s="225"/>
      <c r="R217" s="182" t="str">
        <f ca="1">IF(ISERROR($V217),"",OFFSET('Smelter Look-up'!$C$4,$V217-4,0)&amp;"")</f>
        <v/>
      </c>
      <c r="S217" s="181" t="str">
        <f t="shared" ca="1" si="30"/>
        <v/>
      </c>
      <c r="T217" s="181" t="str">
        <f ca="1">IF(B217="","",IF(ISERROR(MATCH($J217,SorP!$B$1:$B$6279,0)),"",INDIRECT("'SorP'!$A$"&amp;MATCH($S217&amp;$J217,SorP!C:C,0))))</f>
        <v/>
      </c>
      <c r="U217" s="201"/>
      <c r="V217" s="226" t="e">
        <f>IF(C217="",NA(),IF(OR(C217="Smelter not listed",C217="Smelter not yet identified"),MATCH($B217&amp;$D217,'Smelter Look-up'!$J:$J,0),MATCH($B217&amp;$C217,'Smelter Look-up'!$J:$J,0)))</f>
        <v>#N/A</v>
      </c>
      <c r="X217" s="227">
        <f t="shared" si="31"/>
        <v>0</v>
      </c>
      <c r="AB217" s="228" t="str">
        <f t="shared" si="32"/>
        <v/>
      </c>
    </row>
    <row r="218" spans="1:28" s="227" customFormat="1" ht="114.75">
      <c r="A218" s="298"/>
      <c r="B218" s="293"/>
      <c r="C218" s="294"/>
      <c r="D218" s="295"/>
      <c r="E218" s="293"/>
      <c r="F218" s="293"/>
      <c r="G218" s="293"/>
      <c r="H218" s="296"/>
      <c r="I218" s="297"/>
      <c r="J218" s="297"/>
      <c r="K218" s="224"/>
      <c r="L218" s="224"/>
      <c r="M218" s="224"/>
      <c r="N218" s="224"/>
      <c r="O218" s="224"/>
      <c r="P218" s="185"/>
      <c r="Q218" s="225"/>
      <c r="R218" s="182" t="str">
        <f ca="1">IF(ISERROR($V218),"",OFFSET('Smelter Look-up'!$C$4,$V218-4,0)&amp;"")</f>
        <v/>
      </c>
      <c r="S218" s="181" t="str">
        <f t="shared" ca="1" si="30"/>
        <v/>
      </c>
      <c r="T218" s="181" t="str">
        <f ca="1">IF(B218="","",IF(ISERROR(MATCH($J218,SorP!$B$1:$B$6279,0)),"",INDIRECT("'SorP'!$A$"&amp;MATCH($S218&amp;$J218,SorP!C:C,0))))</f>
        <v/>
      </c>
      <c r="U218" s="201"/>
      <c r="V218" s="226" t="e">
        <f>IF(C218="",NA(),IF(OR(C218="Smelter not listed",C218="Smelter not yet identified"),MATCH($B218&amp;$D218,'Smelter Look-up'!$J:$J,0),MATCH($B218&amp;$C218,'Smelter Look-up'!$J:$J,0)))</f>
        <v>#N/A</v>
      </c>
      <c r="X218" s="227">
        <f t="shared" si="31"/>
        <v>0</v>
      </c>
      <c r="AB218" s="228" t="str">
        <f t="shared" si="32"/>
        <v/>
      </c>
    </row>
    <row r="219" spans="1:28" s="227" customFormat="1" ht="89.25">
      <c r="A219" s="298"/>
      <c r="B219" s="293"/>
      <c r="C219" s="294"/>
      <c r="D219" s="295"/>
      <c r="E219" s="293"/>
      <c r="F219" s="293"/>
      <c r="G219" s="293"/>
      <c r="H219" s="296"/>
      <c r="I219" s="297"/>
      <c r="J219" s="297"/>
      <c r="K219" s="224"/>
      <c r="L219" s="224"/>
      <c r="M219" s="224"/>
      <c r="N219" s="224"/>
      <c r="O219" s="224"/>
      <c r="P219" s="185"/>
      <c r="Q219" s="225"/>
      <c r="R219" s="182" t="str">
        <f ca="1">IF(ISERROR($V219),"",OFFSET('Smelter Look-up'!$C$4,$V219-4,0)&amp;"")</f>
        <v/>
      </c>
      <c r="S219" s="181" t="str">
        <f t="shared" ca="1" si="30"/>
        <v/>
      </c>
      <c r="T219" s="181" t="str">
        <f ca="1">IF(B219="","",IF(ISERROR(MATCH($J219,SorP!$B$1:$B$6279,0)),"",INDIRECT("'SorP'!$A$"&amp;MATCH($S219&amp;$J219,SorP!C:C,0))))</f>
        <v/>
      </c>
      <c r="U219" s="201"/>
      <c r="V219" s="226" t="e">
        <f>IF(C219="",NA(),IF(OR(C219="Smelter not listed",C219="Smelter not yet identified"),MATCH($B219&amp;$D219,'Smelter Look-up'!$J:$J,0),MATCH($B219&amp;$C219,'Smelter Look-up'!$J:$J,0)))</f>
        <v>#N/A</v>
      </c>
      <c r="X219" s="227">
        <f t="shared" si="31"/>
        <v>0</v>
      </c>
      <c r="AB219" s="228" t="str">
        <f t="shared" si="32"/>
        <v/>
      </c>
    </row>
    <row r="220" spans="1:28" s="227" customFormat="1" ht="76.5">
      <c r="A220" s="298"/>
      <c r="B220" s="293"/>
      <c r="C220" s="294"/>
      <c r="D220" s="295"/>
      <c r="E220" s="293"/>
      <c r="F220" s="293"/>
      <c r="G220" s="293"/>
      <c r="H220" s="296"/>
      <c r="I220" s="297"/>
      <c r="J220" s="297"/>
      <c r="K220" s="224"/>
      <c r="L220" s="224"/>
      <c r="M220" s="224"/>
      <c r="N220" s="224"/>
      <c r="O220" s="224"/>
      <c r="P220" s="185"/>
      <c r="Q220" s="225"/>
      <c r="R220" s="182" t="str">
        <f ca="1">IF(ISERROR($V220),"",OFFSET('Smelter Look-up'!$C$4,$V220-4,0)&amp;"")</f>
        <v/>
      </c>
      <c r="S220" s="181" t="str">
        <f t="shared" ca="1" si="30"/>
        <v/>
      </c>
      <c r="T220" s="181" t="str">
        <f ca="1">IF(B220="","",IF(ISERROR(MATCH($J220,SorP!$B$1:$B$6279,0)),"",INDIRECT("'SorP'!$A$"&amp;MATCH($S220&amp;$J220,SorP!C:C,0))))</f>
        <v/>
      </c>
      <c r="U220" s="201"/>
      <c r="V220" s="226" t="e">
        <f>IF(C220="",NA(),IF(OR(C220="Smelter not listed",C220="Smelter not yet identified"),MATCH($B220&amp;$D220,'Smelter Look-up'!$J:$J,0),MATCH($B220&amp;$C220,'Smelter Look-up'!$J:$J,0)))</f>
        <v>#N/A</v>
      </c>
      <c r="X220" s="227">
        <f t="shared" si="31"/>
        <v>0</v>
      </c>
      <c r="AB220" s="228" t="str">
        <f t="shared" si="32"/>
        <v/>
      </c>
    </row>
    <row r="221" spans="1:28" s="227" customFormat="1" ht="63.75">
      <c r="A221" s="298"/>
      <c r="B221" s="293"/>
      <c r="C221" s="294"/>
      <c r="D221" s="295"/>
      <c r="E221" s="293"/>
      <c r="F221" s="293"/>
      <c r="G221" s="293"/>
      <c r="H221" s="296"/>
      <c r="I221" s="297"/>
      <c r="J221" s="297"/>
      <c r="K221" s="224"/>
      <c r="L221" s="224"/>
      <c r="M221" s="224"/>
      <c r="N221" s="224"/>
      <c r="O221" s="224"/>
      <c r="P221" s="185"/>
      <c r="Q221" s="225"/>
      <c r="R221" s="182" t="str">
        <f ca="1">IF(ISERROR($V221),"",OFFSET('Smelter Look-up'!$C$4,$V221-4,0)&amp;"")</f>
        <v/>
      </c>
      <c r="S221" s="181" t="str">
        <f t="shared" ca="1" si="30"/>
        <v/>
      </c>
      <c r="T221" s="181" t="str">
        <f ca="1">IF(B221="","",IF(ISERROR(MATCH($J221,SorP!$B$1:$B$6279,0)),"",INDIRECT("'SorP'!$A$"&amp;MATCH($S221&amp;$J221,SorP!C:C,0))))</f>
        <v/>
      </c>
      <c r="U221" s="201"/>
      <c r="V221" s="226" t="e">
        <f>IF(C221="",NA(),IF(OR(C221="Smelter not listed",C221="Smelter not yet identified"),MATCH($B221&amp;$D221,'Smelter Look-up'!$J:$J,0),MATCH($B221&amp;$C221,'Smelter Look-up'!$J:$J,0)))</f>
        <v>#N/A</v>
      </c>
      <c r="X221" s="227">
        <f t="shared" si="31"/>
        <v>0</v>
      </c>
      <c r="AB221" s="228" t="str">
        <f t="shared" si="32"/>
        <v/>
      </c>
    </row>
    <row r="222" spans="1:28" s="227" customFormat="1" ht="51">
      <c r="A222" s="298"/>
      <c r="B222" s="293"/>
      <c r="C222" s="294"/>
      <c r="D222" s="295"/>
      <c r="E222" s="293"/>
      <c r="F222" s="293"/>
      <c r="G222" s="293"/>
      <c r="H222" s="296"/>
      <c r="I222" s="297"/>
      <c r="J222" s="297"/>
      <c r="K222" s="224"/>
      <c r="L222" s="224"/>
      <c r="M222" s="224"/>
      <c r="N222" s="224"/>
      <c r="O222" s="224"/>
      <c r="P222" s="185"/>
      <c r="Q222" s="225"/>
      <c r="R222" s="182" t="str">
        <f ca="1">IF(ISERROR($V222),"",OFFSET('Smelter Look-up'!$C$4,$V222-4,0)&amp;"")</f>
        <v/>
      </c>
      <c r="S222" s="181" t="str">
        <f t="shared" ca="1" si="30"/>
        <v/>
      </c>
      <c r="T222" s="181" t="str">
        <f ca="1">IF(B222="","",IF(ISERROR(MATCH($J222,SorP!$B$1:$B$6279,0)),"",INDIRECT("'SorP'!$A$"&amp;MATCH($S222&amp;$J222,SorP!C:C,0))))</f>
        <v/>
      </c>
      <c r="U222" s="201"/>
      <c r="V222" s="226" t="e">
        <f>IF(C222="",NA(),IF(OR(C222="Smelter not listed",C222="Smelter not yet identified"),MATCH($B222&amp;$D222,'Smelter Look-up'!$J:$J,0),MATCH($B222&amp;$C222,'Smelter Look-up'!$J:$J,0)))</f>
        <v>#N/A</v>
      </c>
      <c r="X222" s="227">
        <f t="shared" si="31"/>
        <v>0</v>
      </c>
      <c r="AB222" s="228" t="str">
        <f t="shared" si="32"/>
        <v/>
      </c>
    </row>
    <row r="223" spans="1:28" s="227" customFormat="1" ht="76.5">
      <c r="A223" s="298"/>
      <c r="B223" s="293"/>
      <c r="C223" s="294"/>
      <c r="D223" s="295"/>
      <c r="E223" s="293"/>
      <c r="F223" s="293"/>
      <c r="G223" s="293"/>
      <c r="H223" s="296"/>
      <c r="I223" s="297"/>
      <c r="J223" s="297"/>
      <c r="K223" s="224"/>
      <c r="L223" s="224"/>
      <c r="M223" s="224"/>
      <c r="N223" s="224"/>
      <c r="O223" s="224"/>
      <c r="P223" s="185"/>
      <c r="Q223" s="225"/>
      <c r="R223" s="182" t="str">
        <f ca="1">IF(ISERROR($V223),"",OFFSET('Smelter Look-up'!$C$4,$V223-4,0)&amp;"")</f>
        <v/>
      </c>
      <c r="S223" s="181" t="str">
        <f t="shared" ca="1" si="30"/>
        <v/>
      </c>
      <c r="T223" s="181" t="str">
        <f ca="1">IF(B223="","",IF(ISERROR(MATCH($J223,SorP!$B$1:$B$6279,0)),"",INDIRECT("'SorP'!$A$"&amp;MATCH($S223&amp;$J223,SorP!C:C,0))))</f>
        <v/>
      </c>
      <c r="U223" s="201"/>
      <c r="V223" s="226" t="e">
        <f>IF(C223="",NA(),IF(OR(C223="Smelter not listed",C223="Smelter not yet identified"),MATCH($B223&amp;$D223,'Smelter Look-up'!$J:$J,0),MATCH($B223&amp;$C223,'Smelter Look-up'!$J:$J,0)))</f>
        <v>#N/A</v>
      </c>
      <c r="X223" s="227">
        <f t="shared" si="31"/>
        <v>0</v>
      </c>
      <c r="AB223" s="228" t="str">
        <f t="shared" si="32"/>
        <v/>
      </c>
    </row>
    <row r="224" spans="1:28" s="227" customFormat="1" ht="51">
      <c r="A224" s="298"/>
      <c r="B224" s="293"/>
      <c r="C224" s="294"/>
      <c r="D224" s="295"/>
      <c r="E224" s="293"/>
      <c r="F224" s="293"/>
      <c r="G224" s="293"/>
      <c r="H224" s="296"/>
      <c r="I224" s="297"/>
      <c r="J224" s="297"/>
      <c r="K224" s="224"/>
      <c r="L224" s="224"/>
      <c r="M224" s="224"/>
      <c r="N224" s="224"/>
      <c r="O224" s="224"/>
      <c r="P224" s="185"/>
      <c r="Q224" s="225"/>
      <c r="R224" s="182" t="str">
        <f ca="1">IF(ISERROR($V224),"",OFFSET('Smelter Look-up'!$C$4,$V224-4,0)&amp;"")</f>
        <v/>
      </c>
      <c r="S224" s="181" t="str">
        <f t="shared" ca="1" si="30"/>
        <v/>
      </c>
      <c r="T224" s="181" t="str">
        <f ca="1">IF(B224="","",IF(ISERROR(MATCH($J224,SorP!$B$1:$B$6279,0)),"",INDIRECT("'SorP'!$A$"&amp;MATCH($S224&amp;$J224,SorP!C:C,0))))</f>
        <v/>
      </c>
      <c r="U224" s="201"/>
      <c r="V224" s="226" t="e">
        <f>IF(C224="",NA(),IF(OR(C224="Smelter not listed",C224="Smelter not yet identified"),MATCH($B224&amp;$D224,'Smelter Look-up'!$J:$J,0),MATCH($B224&amp;$C224,'Smelter Look-up'!$J:$J,0)))</f>
        <v>#N/A</v>
      </c>
      <c r="X224" s="227">
        <f t="shared" si="31"/>
        <v>0</v>
      </c>
      <c r="AB224" s="228" t="str">
        <f t="shared" si="32"/>
        <v/>
      </c>
    </row>
    <row r="225" spans="1:28" s="227" customFormat="1" ht="38.25">
      <c r="A225" s="298"/>
      <c r="B225" s="293"/>
      <c r="C225" s="294"/>
      <c r="D225" s="295"/>
      <c r="E225" s="293"/>
      <c r="F225" s="293"/>
      <c r="G225" s="293"/>
      <c r="H225" s="296"/>
      <c r="I225" s="297"/>
      <c r="J225" s="297"/>
      <c r="K225" s="224"/>
      <c r="L225" s="224"/>
      <c r="M225" s="224"/>
      <c r="N225" s="224"/>
      <c r="O225" s="224"/>
      <c r="P225" s="185"/>
      <c r="Q225" s="225"/>
      <c r="R225" s="182" t="str">
        <f ca="1">IF(ISERROR($V225),"",OFFSET('Smelter Look-up'!$C$4,$V225-4,0)&amp;"")</f>
        <v/>
      </c>
      <c r="S225" s="181" t="str">
        <f t="shared" ca="1" si="30"/>
        <v/>
      </c>
      <c r="T225" s="181" t="str">
        <f ca="1">IF(B225="","",IF(ISERROR(MATCH($J225,SorP!$B$1:$B$6279,0)),"",INDIRECT("'SorP'!$A$"&amp;MATCH($S225&amp;$J225,SorP!C:C,0))))</f>
        <v/>
      </c>
      <c r="U225" s="201"/>
      <c r="V225" s="226" t="e">
        <f>IF(C225="",NA(),IF(OR(C225="Smelter not listed",C225="Smelter not yet identified"),MATCH($B225&amp;$D225,'Smelter Look-up'!$J:$J,0),MATCH($B225&amp;$C225,'Smelter Look-up'!$J:$J,0)))</f>
        <v>#N/A</v>
      </c>
      <c r="X225" s="227">
        <f t="shared" si="31"/>
        <v>0</v>
      </c>
      <c r="AB225" s="228" t="str">
        <f t="shared" si="32"/>
        <v/>
      </c>
    </row>
    <row r="226" spans="1:28" s="227" customFormat="1" ht="191.25">
      <c r="A226" s="298"/>
      <c r="B226" s="293"/>
      <c r="C226" s="294"/>
      <c r="D226" s="295"/>
      <c r="E226" s="293"/>
      <c r="F226" s="293"/>
      <c r="G226" s="293"/>
      <c r="H226" s="296"/>
      <c r="I226" s="297"/>
      <c r="J226" s="297"/>
      <c r="K226" s="224"/>
      <c r="L226" s="224"/>
      <c r="M226" s="224"/>
      <c r="N226" s="224"/>
      <c r="O226" s="224"/>
      <c r="P226" s="185"/>
      <c r="Q226" s="225"/>
      <c r="R226" s="182" t="str">
        <f ca="1">IF(ISERROR($V226),"",OFFSET('Smelter Look-up'!$C$4,$V226-4,0)&amp;"")</f>
        <v/>
      </c>
      <c r="S226" s="181" t="str">
        <f t="shared" ca="1" si="30"/>
        <v/>
      </c>
      <c r="T226" s="181" t="str">
        <f ca="1">IF(B226="","",IF(ISERROR(MATCH($J226,SorP!$B$1:$B$6279,0)),"",INDIRECT("'SorP'!$A$"&amp;MATCH($S226&amp;$J226,SorP!C:C,0))))</f>
        <v/>
      </c>
      <c r="U226" s="201"/>
      <c r="V226" s="226" t="e">
        <f>IF(C226="",NA(),IF(OR(C226="Smelter not listed",C226="Smelter not yet identified"),MATCH($B226&amp;$D226,'Smelter Look-up'!$J:$J,0),MATCH($B226&amp;$C226,'Smelter Look-up'!$J:$J,0)))</f>
        <v>#N/A</v>
      </c>
      <c r="X226" s="227">
        <f t="shared" si="31"/>
        <v>0</v>
      </c>
      <c r="AB226" s="228" t="str">
        <f t="shared" si="32"/>
        <v/>
      </c>
    </row>
    <row r="227" spans="1:28" s="227" customFormat="1" ht="114.75">
      <c r="A227" s="298"/>
      <c r="B227" s="293"/>
      <c r="C227" s="294"/>
      <c r="D227" s="295"/>
      <c r="E227" s="293"/>
      <c r="F227" s="293"/>
      <c r="G227" s="293"/>
      <c r="H227" s="296"/>
      <c r="I227" s="297"/>
      <c r="J227" s="297"/>
      <c r="K227" s="224"/>
      <c r="L227" s="224"/>
      <c r="M227" s="224"/>
      <c r="N227" s="224"/>
      <c r="O227" s="224"/>
      <c r="P227" s="185"/>
      <c r="Q227" s="225"/>
      <c r="R227" s="182" t="str">
        <f ca="1">IF(ISERROR($V227),"",OFFSET('Smelter Look-up'!$C$4,$V227-4,0)&amp;"")</f>
        <v/>
      </c>
      <c r="S227" s="181" t="str">
        <f t="shared" ca="1" si="30"/>
        <v/>
      </c>
      <c r="T227" s="181" t="str">
        <f ca="1">IF(B227="","",IF(ISERROR(MATCH($J227,SorP!$B$1:$B$6279,0)),"",INDIRECT("'SorP'!$A$"&amp;MATCH($S227&amp;$J227,SorP!C:C,0))))</f>
        <v/>
      </c>
      <c r="U227" s="201"/>
      <c r="V227" s="226" t="e">
        <f>IF(C227="",NA(),IF(OR(C227="Smelter not listed",C227="Smelter not yet identified"),MATCH($B227&amp;$D227,'Smelter Look-up'!$J:$J,0),MATCH($B227&amp;$C227,'Smelter Look-up'!$J:$J,0)))</f>
        <v>#N/A</v>
      </c>
      <c r="X227" s="227">
        <f t="shared" si="31"/>
        <v>0</v>
      </c>
      <c r="AB227" s="228" t="str">
        <f t="shared" si="32"/>
        <v/>
      </c>
    </row>
    <row r="228" spans="1:28" s="227" customFormat="1" ht="114.75">
      <c r="A228" s="298"/>
      <c r="B228" s="293"/>
      <c r="C228" s="294"/>
      <c r="D228" s="295"/>
      <c r="E228" s="293"/>
      <c r="F228" s="293"/>
      <c r="G228" s="293"/>
      <c r="H228" s="296"/>
      <c r="I228" s="297"/>
      <c r="J228" s="297"/>
      <c r="K228" s="224"/>
      <c r="L228" s="224"/>
      <c r="M228" s="224"/>
      <c r="N228" s="224"/>
      <c r="O228" s="224"/>
      <c r="P228" s="185"/>
      <c r="Q228" s="225"/>
      <c r="R228" s="182" t="str">
        <f ca="1">IF(ISERROR($V228),"",OFFSET('Smelter Look-up'!$C$4,$V228-4,0)&amp;"")</f>
        <v/>
      </c>
      <c r="S228" s="181" t="str">
        <f t="shared" ca="1" si="30"/>
        <v/>
      </c>
      <c r="T228" s="181" t="str">
        <f ca="1">IF(B228="","",IF(ISERROR(MATCH($J228,SorP!$B$1:$B$6279,0)),"",INDIRECT("'SorP'!$A$"&amp;MATCH($S228&amp;$J228,SorP!C:C,0))))</f>
        <v/>
      </c>
      <c r="U228" s="201"/>
      <c r="V228" s="226" t="e">
        <f>IF(C228="",NA(),IF(OR(C228="Smelter not listed",C228="Smelter not yet identified"),MATCH($B228&amp;$D228,'Smelter Look-up'!$J:$J,0),MATCH($B228&amp;$C228,'Smelter Look-up'!$J:$J,0)))</f>
        <v>#N/A</v>
      </c>
      <c r="X228" s="227">
        <f t="shared" si="31"/>
        <v>0</v>
      </c>
      <c r="AB228" s="228" t="str">
        <f t="shared" si="32"/>
        <v/>
      </c>
    </row>
    <row r="229" spans="1:28" s="227" customFormat="1" ht="25.5">
      <c r="A229" s="298"/>
      <c r="B229" s="293"/>
      <c r="C229" s="294"/>
      <c r="D229" s="295"/>
      <c r="E229" s="293"/>
      <c r="F229" s="293"/>
      <c r="G229" s="293"/>
      <c r="H229" s="296"/>
      <c r="I229" s="297"/>
      <c r="J229" s="297"/>
      <c r="K229" s="224"/>
      <c r="L229" s="224"/>
      <c r="M229" s="224"/>
      <c r="N229" s="224"/>
      <c r="O229" s="224"/>
      <c r="P229" s="185"/>
      <c r="Q229" s="225"/>
      <c r="R229" s="182" t="str">
        <f ca="1">IF(ISERROR($V229),"",OFFSET('Smelter Look-up'!$C$4,$V229-4,0)&amp;"")</f>
        <v/>
      </c>
      <c r="S229" s="181" t="str">
        <f t="shared" ca="1" si="30"/>
        <v/>
      </c>
      <c r="T229" s="181" t="str">
        <f ca="1">IF(B229="","",IF(ISERROR(MATCH($J229,SorP!$B$1:$B$6279,0)),"",INDIRECT("'SorP'!$A$"&amp;MATCH($S229&amp;$J229,SorP!C:C,0))))</f>
        <v/>
      </c>
      <c r="U229" s="201"/>
      <c r="V229" s="226" t="e">
        <f>IF(C229="",NA(),IF(OR(C229="Smelter not listed",C229="Smelter not yet identified"),MATCH($B229&amp;$D229,'Smelter Look-up'!$J:$J,0),MATCH($B229&amp;$C229,'Smelter Look-up'!$J:$J,0)))</f>
        <v>#N/A</v>
      </c>
      <c r="X229" s="227">
        <f t="shared" si="31"/>
        <v>0</v>
      </c>
      <c r="AB229" s="228" t="str">
        <f t="shared" si="32"/>
        <v/>
      </c>
    </row>
    <row r="230" spans="1:28" s="227" customFormat="1" ht="51">
      <c r="A230" s="298"/>
      <c r="B230" s="293"/>
      <c r="C230" s="294"/>
      <c r="D230" s="295"/>
      <c r="E230" s="293"/>
      <c r="F230" s="293"/>
      <c r="G230" s="293"/>
      <c r="H230" s="296"/>
      <c r="I230" s="297"/>
      <c r="J230" s="297"/>
      <c r="K230" s="224"/>
      <c r="L230" s="224"/>
      <c r="M230" s="224"/>
      <c r="N230" s="224"/>
      <c r="O230" s="224"/>
      <c r="P230" s="185"/>
      <c r="Q230" s="225"/>
      <c r="R230" s="182" t="str">
        <f ca="1">IF(ISERROR($V230),"",OFFSET('Smelter Look-up'!$C$4,$V230-4,0)&amp;"")</f>
        <v/>
      </c>
      <c r="S230" s="181" t="str">
        <f t="shared" ref="S230:S260" ca="1" si="33">IF(B230="","",IF(ISERROR(MATCH($E230,CL,0)),"Unknown",INDIRECT("'C'!$A$"&amp;MATCH($E230,CL,0)+1)))</f>
        <v/>
      </c>
      <c r="T230" s="181" t="str">
        <f ca="1">IF(B230="","",IF(ISERROR(MATCH($J230,SorP!$B$1:$B$6279,0)),"",INDIRECT("'SorP'!$A$"&amp;MATCH($S230&amp;$J230,SorP!C:C,0))))</f>
        <v/>
      </c>
      <c r="U230" s="201"/>
      <c r="V230" s="226" t="e">
        <f>IF(C230="",NA(),IF(OR(C230="Smelter not listed",C230="Smelter not yet identified"),MATCH($B230&amp;$D230,'Smelter Look-up'!$J:$J,0),MATCH($B230&amp;$C230,'Smelter Look-up'!$J:$J,0)))</f>
        <v>#N/A</v>
      </c>
      <c r="X230" s="227">
        <f t="shared" ref="X230:X260" si="34">IF(AND(C230="Smelter not listed",OR(LEN(D230)=0,LEN(E230)=0)),1,0)</f>
        <v>0</v>
      </c>
      <c r="AB230" s="228" t="str">
        <f t="shared" ref="AB230:AB260" si="35">B230&amp;C230</f>
        <v/>
      </c>
    </row>
    <row r="231" spans="1:28" s="227" customFormat="1" ht="51">
      <c r="A231" s="298"/>
      <c r="B231" s="293"/>
      <c r="C231" s="294"/>
      <c r="D231" s="295"/>
      <c r="E231" s="293"/>
      <c r="F231" s="293"/>
      <c r="G231" s="293"/>
      <c r="H231" s="296"/>
      <c r="I231" s="297"/>
      <c r="J231" s="297"/>
      <c r="K231" s="224"/>
      <c r="L231" s="224"/>
      <c r="M231" s="224"/>
      <c r="N231" s="224"/>
      <c r="O231" s="224"/>
      <c r="P231" s="185"/>
      <c r="Q231" s="225"/>
      <c r="R231" s="182" t="str">
        <f ca="1">IF(ISERROR($V231),"",OFFSET('Smelter Look-up'!$C$4,$V231-4,0)&amp;"")</f>
        <v/>
      </c>
      <c r="S231" s="181" t="str">
        <f t="shared" ca="1" si="33"/>
        <v/>
      </c>
      <c r="T231" s="181" t="str">
        <f ca="1">IF(B231="","",IF(ISERROR(MATCH($J231,SorP!$B$1:$B$6279,0)),"",INDIRECT("'SorP'!$A$"&amp;MATCH($S231&amp;$J231,SorP!C:C,0))))</f>
        <v/>
      </c>
      <c r="U231" s="201"/>
      <c r="V231" s="226" t="e">
        <f>IF(C231="",NA(),IF(OR(C231="Smelter not listed",C231="Smelter not yet identified"),MATCH($B231&amp;$D231,'Smelter Look-up'!$J:$J,0),MATCH($B231&amp;$C231,'Smelter Look-up'!$J:$J,0)))</f>
        <v>#N/A</v>
      </c>
      <c r="X231" s="227">
        <f t="shared" si="34"/>
        <v>0</v>
      </c>
      <c r="AB231" s="228" t="str">
        <f t="shared" si="35"/>
        <v/>
      </c>
    </row>
    <row r="232" spans="1:28" s="227" customFormat="1" ht="63.75">
      <c r="A232" s="298"/>
      <c r="B232" s="293"/>
      <c r="C232" s="294"/>
      <c r="D232" s="295"/>
      <c r="E232" s="293"/>
      <c r="F232" s="293"/>
      <c r="G232" s="293"/>
      <c r="H232" s="296"/>
      <c r="I232" s="297"/>
      <c r="J232" s="297"/>
      <c r="K232" s="224"/>
      <c r="L232" s="224"/>
      <c r="M232" s="224"/>
      <c r="N232" s="224"/>
      <c r="O232" s="224"/>
      <c r="P232" s="185"/>
      <c r="Q232" s="225"/>
      <c r="R232" s="182" t="str">
        <f ca="1">IF(ISERROR($V232),"",OFFSET('Smelter Look-up'!$C$4,$V232-4,0)&amp;"")</f>
        <v/>
      </c>
      <c r="S232" s="181" t="str">
        <f t="shared" ca="1" si="33"/>
        <v/>
      </c>
      <c r="T232" s="181" t="str">
        <f ca="1">IF(B232="","",IF(ISERROR(MATCH($J232,SorP!$B$1:$B$6279,0)),"",INDIRECT("'SorP'!$A$"&amp;MATCH($S232&amp;$J232,SorP!C:C,0))))</f>
        <v/>
      </c>
      <c r="U232" s="201"/>
      <c r="V232" s="226" t="e">
        <f>IF(C232="",NA(),IF(OR(C232="Smelter not listed",C232="Smelter not yet identified"),MATCH($B232&amp;$D232,'Smelter Look-up'!$J:$J,0),MATCH($B232&amp;$C232,'Smelter Look-up'!$J:$J,0)))</f>
        <v>#N/A</v>
      </c>
      <c r="X232" s="227">
        <f t="shared" si="34"/>
        <v>0</v>
      </c>
      <c r="AB232" s="228" t="str">
        <f t="shared" si="35"/>
        <v/>
      </c>
    </row>
    <row r="233" spans="1:28" s="227" customFormat="1" ht="51">
      <c r="A233" s="298"/>
      <c r="B233" s="293"/>
      <c r="C233" s="294"/>
      <c r="D233" s="295"/>
      <c r="E233" s="293"/>
      <c r="F233" s="293"/>
      <c r="G233" s="293"/>
      <c r="H233" s="296"/>
      <c r="I233" s="297"/>
      <c r="J233" s="297"/>
      <c r="K233" s="224"/>
      <c r="L233" s="224"/>
      <c r="M233" s="224"/>
      <c r="N233" s="224"/>
      <c r="O233" s="224"/>
      <c r="P233" s="185"/>
      <c r="Q233" s="225"/>
      <c r="R233" s="182" t="str">
        <f ca="1">IF(ISERROR($V233),"",OFFSET('Smelter Look-up'!$C$4,$V233-4,0)&amp;"")</f>
        <v/>
      </c>
      <c r="S233" s="181" t="str">
        <f t="shared" ca="1" si="33"/>
        <v/>
      </c>
      <c r="T233" s="181" t="str">
        <f ca="1">IF(B233="","",IF(ISERROR(MATCH($J233,SorP!$B$1:$B$6279,0)),"",INDIRECT("'SorP'!$A$"&amp;MATCH($S233&amp;$J233,SorP!C:C,0))))</f>
        <v/>
      </c>
      <c r="U233" s="201"/>
      <c r="V233" s="226" t="e">
        <f>IF(C233="",NA(),IF(OR(C233="Smelter not listed",C233="Smelter not yet identified"),MATCH($B233&amp;$D233,'Smelter Look-up'!$J:$J,0),MATCH($B233&amp;$C233,'Smelter Look-up'!$J:$J,0)))</f>
        <v>#N/A</v>
      </c>
      <c r="X233" s="227">
        <f t="shared" si="34"/>
        <v>0</v>
      </c>
      <c r="AB233" s="228" t="str">
        <f t="shared" si="35"/>
        <v/>
      </c>
    </row>
    <row r="234" spans="1:28" s="227" customFormat="1" ht="63.75">
      <c r="A234" s="298"/>
      <c r="B234" s="293"/>
      <c r="C234" s="294"/>
      <c r="D234" s="295"/>
      <c r="E234" s="293"/>
      <c r="F234" s="293"/>
      <c r="G234" s="293"/>
      <c r="H234" s="296"/>
      <c r="I234" s="297"/>
      <c r="J234" s="297"/>
      <c r="K234" s="224"/>
      <c r="L234" s="224"/>
      <c r="M234" s="224"/>
      <c r="N234" s="224"/>
      <c r="O234" s="224"/>
      <c r="P234" s="185"/>
      <c r="Q234" s="225"/>
      <c r="R234" s="182" t="str">
        <f ca="1">IF(ISERROR($V234),"",OFFSET('Smelter Look-up'!$C$4,$V234-4,0)&amp;"")</f>
        <v/>
      </c>
      <c r="S234" s="181" t="str">
        <f t="shared" ca="1" si="33"/>
        <v/>
      </c>
      <c r="T234" s="181" t="str">
        <f ca="1">IF(B234="","",IF(ISERROR(MATCH($J234,SorP!$B$1:$B$6279,0)),"",INDIRECT("'SorP'!$A$"&amp;MATCH($S234&amp;$J234,SorP!C:C,0))))</f>
        <v/>
      </c>
      <c r="U234" s="201"/>
      <c r="V234" s="226" t="e">
        <f>IF(C234="",NA(),IF(OR(C234="Smelter not listed",C234="Smelter not yet identified"),MATCH($B234&amp;$D234,'Smelter Look-up'!$J:$J,0),MATCH($B234&amp;$C234,'Smelter Look-up'!$J:$J,0)))</f>
        <v>#N/A</v>
      </c>
      <c r="X234" s="227">
        <f t="shared" si="34"/>
        <v>0</v>
      </c>
      <c r="AB234" s="228" t="str">
        <f t="shared" si="35"/>
        <v/>
      </c>
    </row>
    <row r="235" spans="1:28" s="227" customFormat="1" ht="51">
      <c r="A235" s="298"/>
      <c r="B235" s="293"/>
      <c r="C235" s="294"/>
      <c r="D235" s="295"/>
      <c r="E235" s="293"/>
      <c r="F235" s="293"/>
      <c r="G235" s="293"/>
      <c r="H235" s="296"/>
      <c r="I235" s="297"/>
      <c r="J235" s="297"/>
      <c r="K235" s="224"/>
      <c r="L235" s="224"/>
      <c r="M235" s="224"/>
      <c r="N235" s="224"/>
      <c r="O235" s="224"/>
      <c r="P235" s="185"/>
      <c r="Q235" s="225"/>
      <c r="R235" s="182" t="str">
        <f ca="1">IF(ISERROR($V235),"",OFFSET('Smelter Look-up'!$C$4,$V235-4,0)&amp;"")</f>
        <v/>
      </c>
      <c r="S235" s="181" t="str">
        <f t="shared" ca="1" si="33"/>
        <v/>
      </c>
      <c r="T235" s="181" t="str">
        <f ca="1">IF(B235="","",IF(ISERROR(MATCH($J235,SorP!$B$1:$B$6279,0)),"",INDIRECT("'SorP'!$A$"&amp;MATCH($S235&amp;$J235,SorP!C:C,0))))</f>
        <v/>
      </c>
      <c r="U235" s="201"/>
      <c r="V235" s="226" t="e">
        <f>IF(C235="",NA(),IF(OR(C235="Smelter not listed",C235="Smelter not yet identified"),MATCH($B235&amp;$D235,'Smelter Look-up'!$J:$J,0),MATCH($B235&amp;$C235,'Smelter Look-up'!$J:$J,0)))</f>
        <v>#N/A</v>
      </c>
      <c r="X235" s="227">
        <f t="shared" si="34"/>
        <v>0</v>
      </c>
      <c r="AB235" s="228" t="str">
        <f t="shared" si="35"/>
        <v/>
      </c>
    </row>
    <row r="236" spans="1:28" s="227" customFormat="1" ht="38.25">
      <c r="A236" s="298"/>
      <c r="B236" s="293"/>
      <c r="C236" s="294"/>
      <c r="D236" s="295"/>
      <c r="E236" s="293"/>
      <c r="F236" s="293"/>
      <c r="G236" s="293"/>
      <c r="H236" s="296"/>
      <c r="I236" s="297"/>
      <c r="J236" s="297"/>
      <c r="K236" s="224"/>
      <c r="L236" s="224"/>
      <c r="M236" s="224"/>
      <c r="N236" s="224"/>
      <c r="O236" s="224"/>
      <c r="P236" s="185"/>
      <c r="Q236" s="225"/>
      <c r="R236" s="182" t="str">
        <f ca="1">IF(ISERROR($V236),"",OFFSET('Smelter Look-up'!$C$4,$V236-4,0)&amp;"")</f>
        <v/>
      </c>
      <c r="S236" s="181" t="str">
        <f t="shared" ca="1" si="33"/>
        <v/>
      </c>
      <c r="T236" s="181" t="str">
        <f ca="1">IF(B236="","",IF(ISERROR(MATCH($J236,SorP!$B$1:$B$6279,0)),"",INDIRECT("'SorP'!$A$"&amp;MATCH($S236&amp;$J236,SorP!C:C,0))))</f>
        <v/>
      </c>
      <c r="U236" s="201"/>
      <c r="V236" s="226" t="e">
        <f>IF(C236="",NA(),IF(OR(C236="Smelter not listed",C236="Smelter not yet identified"),MATCH($B236&amp;$D236,'Smelter Look-up'!$J:$J,0),MATCH($B236&amp;$C236,'Smelter Look-up'!$J:$J,0)))</f>
        <v>#N/A</v>
      </c>
      <c r="X236" s="227">
        <f t="shared" si="34"/>
        <v>0</v>
      </c>
      <c r="AB236" s="228" t="str">
        <f t="shared" si="35"/>
        <v/>
      </c>
    </row>
    <row r="237" spans="1:28" s="227" customFormat="1" ht="51">
      <c r="A237" s="298"/>
      <c r="B237" s="293"/>
      <c r="C237" s="294"/>
      <c r="D237" s="295"/>
      <c r="E237" s="293"/>
      <c r="F237" s="293"/>
      <c r="G237" s="293"/>
      <c r="H237" s="296"/>
      <c r="I237" s="297"/>
      <c r="J237" s="297"/>
      <c r="K237" s="224"/>
      <c r="L237" s="224"/>
      <c r="M237" s="224"/>
      <c r="N237" s="224"/>
      <c r="O237" s="224"/>
      <c r="P237" s="185"/>
      <c r="Q237" s="225"/>
      <c r="R237" s="182" t="str">
        <f ca="1">IF(ISERROR($V237),"",OFFSET('Smelter Look-up'!$C$4,$V237-4,0)&amp;"")</f>
        <v/>
      </c>
      <c r="S237" s="181" t="str">
        <f t="shared" ca="1" si="33"/>
        <v/>
      </c>
      <c r="T237" s="181" t="str">
        <f ca="1">IF(B237="","",IF(ISERROR(MATCH($J237,SorP!$B$1:$B$6279,0)),"",INDIRECT("'SorP'!$A$"&amp;MATCH($S237&amp;$J237,SorP!C:C,0))))</f>
        <v/>
      </c>
      <c r="U237" s="201"/>
      <c r="V237" s="226" t="e">
        <f>IF(C237="",NA(),IF(OR(C237="Smelter not listed",C237="Smelter not yet identified"),MATCH($B237&amp;$D237,'Smelter Look-up'!$J:$J,0),MATCH($B237&amp;$C237,'Smelter Look-up'!$J:$J,0)))</f>
        <v>#N/A</v>
      </c>
      <c r="X237" s="227">
        <f t="shared" si="34"/>
        <v>0</v>
      </c>
      <c r="AB237" s="228" t="str">
        <f t="shared" si="35"/>
        <v/>
      </c>
    </row>
    <row r="238" spans="1:28" s="227" customFormat="1" ht="89.25">
      <c r="A238" s="298"/>
      <c r="B238" s="293"/>
      <c r="C238" s="294"/>
      <c r="D238" s="295"/>
      <c r="E238" s="293"/>
      <c r="F238" s="293"/>
      <c r="G238" s="293"/>
      <c r="H238" s="296"/>
      <c r="I238" s="297"/>
      <c r="J238" s="297"/>
      <c r="K238" s="224"/>
      <c r="L238" s="224"/>
      <c r="M238" s="224"/>
      <c r="N238" s="224"/>
      <c r="O238" s="224"/>
      <c r="P238" s="185"/>
      <c r="Q238" s="225"/>
      <c r="R238" s="182" t="str">
        <f ca="1">IF(ISERROR($V238),"",OFFSET('Smelter Look-up'!$C$4,$V238-4,0)&amp;"")</f>
        <v/>
      </c>
      <c r="S238" s="181" t="str">
        <f t="shared" ca="1" si="33"/>
        <v/>
      </c>
      <c r="T238" s="181" t="str">
        <f ca="1">IF(B238="","",IF(ISERROR(MATCH($J238,SorP!$B$1:$B$6279,0)),"",INDIRECT("'SorP'!$A$"&amp;MATCH($S238&amp;$J238,SorP!C:C,0))))</f>
        <v/>
      </c>
      <c r="U238" s="201"/>
      <c r="V238" s="226" t="e">
        <f>IF(C238="",NA(),IF(OR(C238="Smelter not listed",C238="Smelter not yet identified"),MATCH($B238&amp;$D238,'Smelter Look-up'!$J:$J,0),MATCH($B238&amp;$C238,'Smelter Look-up'!$J:$J,0)))</f>
        <v>#N/A</v>
      </c>
      <c r="X238" s="227">
        <f t="shared" si="34"/>
        <v>0</v>
      </c>
      <c r="AB238" s="228" t="str">
        <f t="shared" si="35"/>
        <v/>
      </c>
    </row>
    <row r="239" spans="1:28" s="227" customFormat="1" ht="102">
      <c r="A239" s="298"/>
      <c r="B239" s="293"/>
      <c r="C239" s="294"/>
      <c r="D239" s="295"/>
      <c r="E239" s="293"/>
      <c r="F239" s="293"/>
      <c r="G239" s="293"/>
      <c r="H239" s="296"/>
      <c r="I239" s="297"/>
      <c r="J239" s="297"/>
      <c r="K239" s="224"/>
      <c r="L239" s="224"/>
      <c r="M239" s="224"/>
      <c r="N239" s="224"/>
      <c r="O239" s="224"/>
      <c r="P239" s="185"/>
      <c r="Q239" s="225"/>
      <c r="R239" s="182" t="str">
        <f ca="1">IF(ISERROR($V239),"",OFFSET('Smelter Look-up'!$C$4,$V239-4,0)&amp;"")</f>
        <v/>
      </c>
      <c r="S239" s="181" t="str">
        <f t="shared" ca="1" si="33"/>
        <v/>
      </c>
      <c r="T239" s="181" t="str">
        <f ca="1">IF(B239="","",IF(ISERROR(MATCH($J239,SorP!$B$1:$B$6279,0)),"",INDIRECT("'SorP'!$A$"&amp;MATCH($S239&amp;$J239,SorP!C:C,0))))</f>
        <v/>
      </c>
      <c r="U239" s="201"/>
      <c r="V239" s="226" t="e">
        <f>IF(C239="",NA(),IF(OR(C239="Smelter not listed",C239="Smelter not yet identified"),MATCH($B239&amp;$D239,'Smelter Look-up'!$J:$J,0),MATCH($B239&amp;$C239,'Smelter Look-up'!$J:$J,0)))</f>
        <v>#N/A</v>
      </c>
      <c r="X239" s="227">
        <f t="shared" si="34"/>
        <v>0</v>
      </c>
      <c r="AB239" s="228" t="str">
        <f t="shared" si="35"/>
        <v/>
      </c>
    </row>
    <row r="240" spans="1:28" s="227" customFormat="1" ht="51">
      <c r="A240" s="298"/>
      <c r="B240" s="293"/>
      <c r="C240" s="294"/>
      <c r="D240" s="295"/>
      <c r="E240" s="293"/>
      <c r="F240" s="293"/>
      <c r="G240" s="293"/>
      <c r="H240" s="296"/>
      <c r="I240" s="297"/>
      <c r="J240" s="297"/>
      <c r="K240" s="224"/>
      <c r="L240" s="224"/>
      <c r="M240" s="224"/>
      <c r="N240" s="224"/>
      <c r="O240" s="224"/>
      <c r="P240" s="185"/>
      <c r="Q240" s="225"/>
      <c r="R240" s="182" t="str">
        <f ca="1">IF(ISERROR($V240),"",OFFSET('Smelter Look-up'!$C$4,$V240-4,0)&amp;"")</f>
        <v/>
      </c>
      <c r="S240" s="181" t="str">
        <f t="shared" ca="1" si="33"/>
        <v/>
      </c>
      <c r="T240" s="181" t="str">
        <f ca="1">IF(B240="","",IF(ISERROR(MATCH($J240,SorP!$B$1:$B$6279,0)),"",INDIRECT("'SorP'!$A$"&amp;MATCH($S240&amp;$J240,SorP!C:C,0))))</f>
        <v/>
      </c>
      <c r="U240" s="201"/>
      <c r="V240" s="226" t="e">
        <f>IF(C240="",NA(),IF(OR(C240="Smelter not listed",C240="Smelter not yet identified"),MATCH($B240&amp;$D240,'Smelter Look-up'!$J:$J,0),MATCH($B240&amp;$C240,'Smelter Look-up'!$J:$J,0)))</f>
        <v>#N/A</v>
      </c>
      <c r="X240" s="227">
        <f t="shared" si="34"/>
        <v>0</v>
      </c>
      <c r="AB240" s="228" t="str">
        <f t="shared" si="35"/>
        <v/>
      </c>
    </row>
    <row r="241" spans="1:28" s="227" customFormat="1" ht="51">
      <c r="A241" s="298"/>
      <c r="B241" s="293"/>
      <c r="C241" s="294"/>
      <c r="D241" s="295"/>
      <c r="E241" s="293"/>
      <c r="F241" s="293"/>
      <c r="G241" s="293"/>
      <c r="H241" s="296"/>
      <c r="I241" s="297"/>
      <c r="J241" s="297"/>
      <c r="K241" s="224"/>
      <c r="L241" s="224"/>
      <c r="M241" s="224"/>
      <c r="N241" s="224"/>
      <c r="O241" s="224"/>
      <c r="P241" s="185"/>
      <c r="Q241" s="225"/>
      <c r="R241" s="182" t="str">
        <f ca="1">IF(ISERROR($V241),"",OFFSET('Smelter Look-up'!$C$4,$V241-4,0)&amp;"")</f>
        <v/>
      </c>
      <c r="S241" s="181" t="str">
        <f t="shared" ca="1" si="33"/>
        <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si="34"/>
        <v>0</v>
      </c>
      <c r="AB241" s="228" t="str">
        <f t="shared" si="35"/>
        <v/>
      </c>
    </row>
    <row r="242" spans="1:28" s="227" customFormat="1" ht="114.75">
      <c r="A242" s="298"/>
      <c r="B242" s="293"/>
      <c r="C242" s="294"/>
      <c r="D242" s="295"/>
      <c r="E242" s="293"/>
      <c r="F242" s="293"/>
      <c r="G242" s="293"/>
      <c r="H242" s="296"/>
      <c r="I242" s="297"/>
      <c r="J242" s="297"/>
      <c r="K242" s="224"/>
      <c r="L242" s="224"/>
      <c r="M242" s="224"/>
      <c r="N242" s="224"/>
      <c r="O242" s="224"/>
      <c r="P242" s="185"/>
      <c r="Q242" s="225"/>
      <c r="R242" s="182" t="str">
        <f ca="1">IF(ISERROR($V242),"",OFFSET('Smelter Look-up'!$C$4,$V242-4,0)&amp;"")</f>
        <v/>
      </c>
      <c r="S242" s="181" t="str">
        <f t="shared" ca="1" si="33"/>
        <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si="34"/>
        <v>0</v>
      </c>
      <c r="AB242" s="228" t="str">
        <f t="shared" si="35"/>
        <v/>
      </c>
    </row>
    <row r="243" spans="1:28" s="227" customFormat="1" ht="76.5">
      <c r="A243" s="298"/>
      <c r="B243" s="293"/>
      <c r="C243" s="294"/>
      <c r="D243" s="295"/>
      <c r="E243" s="293"/>
      <c r="F243" s="293"/>
      <c r="G243" s="293"/>
      <c r="H243" s="296"/>
      <c r="I243" s="297"/>
      <c r="J243" s="297"/>
      <c r="K243" s="224"/>
      <c r="L243" s="224"/>
      <c r="M243" s="224"/>
      <c r="N243" s="224"/>
      <c r="O243" s="224"/>
      <c r="P243" s="185"/>
      <c r="Q243" s="225"/>
      <c r="R243" s="182" t="str">
        <f ca="1">IF(ISERROR($V243),"",OFFSET('Smelter Look-up'!$C$4,$V243-4,0)&amp;"")</f>
        <v/>
      </c>
      <c r="S243" s="181" t="str">
        <f t="shared" ca="1" si="33"/>
        <v/>
      </c>
      <c r="T243" s="181" t="str">
        <f ca="1">IF(B243="","",IF(ISERROR(MATCH($J243,SorP!$B$1:$B$6279,0)),"",INDIRECT("'SorP'!$A$"&amp;MATCH($S243&amp;$J243,SorP!C:C,0))))</f>
        <v/>
      </c>
      <c r="U243" s="201"/>
      <c r="V243" s="226" t="e">
        <f>IF(C243="",NA(),IF(OR(C243="Smelter not listed",C243="Smelter not yet identified"),MATCH($B243&amp;$D243,'Smelter Look-up'!$J:$J,0),MATCH($B243&amp;$C243,'Smelter Look-up'!$J:$J,0)))</f>
        <v>#N/A</v>
      </c>
      <c r="X243" s="227">
        <f t="shared" si="34"/>
        <v>0</v>
      </c>
      <c r="AB243" s="228" t="str">
        <f t="shared" si="35"/>
        <v/>
      </c>
    </row>
    <row r="244" spans="1:28" s="227" customFormat="1" ht="76.5">
      <c r="A244" s="298"/>
      <c r="B244" s="293"/>
      <c r="C244" s="294"/>
      <c r="D244" s="295"/>
      <c r="E244" s="293"/>
      <c r="F244" s="293"/>
      <c r="G244" s="293"/>
      <c r="H244" s="296"/>
      <c r="I244" s="297"/>
      <c r="J244" s="297"/>
      <c r="K244" s="224"/>
      <c r="L244" s="224"/>
      <c r="M244" s="224"/>
      <c r="N244" s="224"/>
      <c r="O244" s="224"/>
      <c r="P244" s="185"/>
      <c r="Q244" s="225"/>
      <c r="R244" s="182" t="str">
        <f ca="1">IF(ISERROR($V244),"",OFFSET('Smelter Look-up'!$C$4,$V244-4,0)&amp;"")</f>
        <v/>
      </c>
      <c r="S244" s="181" t="str">
        <f t="shared" ca="1" si="33"/>
        <v/>
      </c>
      <c r="T244" s="181" t="str">
        <f ca="1">IF(B244="","",IF(ISERROR(MATCH($J244,SorP!$B$1:$B$6279,0)),"",INDIRECT("'SorP'!$A$"&amp;MATCH($S244&amp;$J244,SorP!C:C,0))))</f>
        <v/>
      </c>
      <c r="U244" s="201"/>
      <c r="V244" s="226" t="e">
        <f>IF(C244="",NA(),IF(OR(C244="Smelter not listed",C244="Smelter not yet identified"),MATCH($B244&amp;$D244,'Smelter Look-up'!$J:$J,0),MATCH($B244&amp;$C244,'Smelter Look-up'!$J:$J,0)))</f>
        <v>#N/A</v>
      </c>
      <c r="X244" s="227">
        <f t="shared" si="34"/>
        <v>0</v>
      </c>
      <c r="AB244" s="228" t="str">
        <f t="shared" si="35"/>
        <v/>
      </c>
    </row>
    <row r="245" spans="1:28" s="227" customFormat="1" ht="63.75">
      <c r="A245" s="298"/>
      <c r="B245" s="293"/>
      <c r="C245" s="294"/>
      <c r="D245" s="295"/>
      <c r="E245" s="293"/>
      <c r="F245" s="293"/>
      <c r="G245" s="293"/>
      <c r="H245" s="296"/>
      <c r="I245" s="297"/>
      <c r="J245" s="297"/>
      <c r="K245" s="224"/>
      <c r="L245" s="224"/>
      <c r="M245" s="224"/>
      <c r="N245" s="224"/>
      <c r="O245" s="224"/>
      <c r="P245" s="185"/>
      <c r="Q245" s="225"/>
      <c r="R245" s="182" t="str">
        <f ca="1">IF(ISERROR($V245),"",OFFSET('Smelter Look-up'!$C$4,$V245-4,0)&amp;"")</f>
        <v/>
      </c>
      <c r="S245" s="181" t="str">
        <f t="shared" ca="1" si="33"/>
        <v/>
      </c>
      <c r="T245" s="181" t="str">
        <f ca="1">IF(B245="","",IF(ISERROR(MATCH($J245,SorP!$B$1:$B$6279,0)),"",INDIRECT("'SorP'!$A$"&amp;MATCH($S245&amp;$J245,SorP!C:C,0))))</f>
        <v/>
      </c>
      <c r="U245" s="201"/>
      <c r="V245" s="226" t="e">
        <f>IF(C245="",NA(),IF(OR(C245="Smelter not listed",C245="Smelter not yet identified"),MATCH($B245&amp;$D245,'Smelter Look-up'!$J:$J,0),MATCH($B245&amp;$C245,'Smelter Look-up'!$J:$J,0)))</f>
        <v>#N/A</v>
      </c>
      <c r="X245" s="227">
        <f t="shared" si="34"/>
        <v>0</v>
      </c>
      <c r="AB245" s="228" t="str">
        <f t="shared" si="35"/>
        <v/>
      </c>
    </row>
    <row r="246" spans="1:28" s="227" customFormat="1" ht="89.25">
      <c r="A246" s="298"/>
      <c r="B246" s="293"/>
      <c r="C246" s="294"/>
      <c r="D246" s="295"/>
      <c r="E246" s="293"/>
      <c r="F246" s="293"/>
      <c r="G246" s="293"/>
      <c r="H246" s="296"/>
      <c r="I246" s="297"/>
      <c r="J246" s="297"/>
      <c r="K246" s="224"/>
      <c r="L246" s="224"/>
      <c r="M246" s="224"/>
      <c r="N246" s="224"/>
      <c r="O246" s="224"/>
      <c r="P246" s="185"/>
      <c r="Q246" s="225"/>
      <c r="R246" s="182" t="str">
        <f ca="1">IF(ISERROR($V246),"",OFFSET('Smelter Look-up'!$C$4,$V246-4,0)&amp;"")</f>
        <v/>
      </c>
      <c r="S246" s="181" t="str">
        <f t="shared" ca="1" si="33"/>
        <v/>
      </c>
      <c r="T246" s="181" t="str">
        <f ca="1">IF(B246="","",IF(ISERROR(MATCH($J246,SorP!$B$1:$B$6279,0)),"",INDIRECT("'SorP'!$A$"&amp;MATCH($S246&amp;$J246,SorP!C:C,0))))</f>
        <v/>
      </c>
      <c r="U246" s="201"/>
      <c r="V246" s="226" t="e">
        <f>IF(C246="",NA(),IF(OR(C246="Smelter not listed",C246="Smelter not yet identified"),MATCH($B246&amp;$D246,'Smelter Look-up'!$J:$J,0),MATCH($B246&amp;$C246,'Smelter Look-up'!$J:$J,0)))</f>
        <v>#N/A</v>
      </c>
      <c r="X246" s="227">
        <f t="shared" si="34"/>
        <v>0</v>
      </c>
      <c r="AB246" s="228" t="str">
        <f t="shared" si="35"/>
        <v/>
      </c>
    </row>
    <row r="247" spans="1:28" s="227" customFormat="1" ht="76.5">
      <c r="A247" s="298"/>
      <c r="B247" s="293"/>
      <c r="C247" s="294"/>
      <c r="D247" s="295"/>
      <c r="E247" s="293"/>
      <c r="F247" s="293"/>
      <c r="G247" s="293"/>
      <c r="H247" s="296"/>
      <c r="I247" s="297"/>
      <c r="J247" s="297"/>
      <c r="K247" s="224"/>
      <c r="L247" s="224"/>
      <c r="M247" s="224"/>
      <c r="N247" s="224"/>
      <c r="O247" s="224"/>
      <c r="P247" s="185"/>
      <c r="Q247" s="225"/>
      <c r="R247" s="182" t="str">
        <f ca="1">IF(ISERROR($V247),"",OFFSET('Smelter Look-up'!$C$4,$V247-4,0)&amp;"")</f>
        <v/>
      </c>
      <c r="S247" s="181" t="str">
        <f t="shared" ca="1" si="33"/>
        <v/>
      </c>
      <c r="T247" s="181" t="str">
        <f ca="1">IF(B247="","",IF(ISERROR(MATCH($J247,SorP!$B$1:$B$6279,0)),"",INDIRECT("'SorP'!$A$"&amp;MATCH($S247&amp;$J247,SorP!C:C,0))))</f>
        <v/>
      </c>
      <c r="U247" s="201"/>
      <c r="V247" s="226" t="e">
        <f>IF(C247="",NA(),IF(OR(C247="Smelter not listed",C247="Smelter not yet identified"),MATCH($B247&amp;$D247,'Smelter Look-up'!$J:$J,0),MATCH($B247&amp;$C247,'Smelter Look-up'!$J:$J,0)))</f>
        <v>#N/A</v>
      </c>
      <c r="X247" s="227">
        <f t="shared" si="34"/>
        <v>0</v>
      </c>
      <c r="AB247" s="228" t="str">
        <f t="shared" si="35"/>
        <v/>
      </c>
    </row>
    <row r="248" spans="1:28" s="227" customFormat="1" ht="25.5">
      <c r="A248" s="298"/>
      <c r="B248" s="293"/>
      <c r="C248" s="294"/>
      <c r="D248" s="295"/>
      <c r="E248" s="293"/>
      <c r="F248" s="293"/>
      <c r="G248" s="293"/>
      <c r="H248" s="296"/>
      <c r="I248" s="297"/>
      <c r="J248" s="297"/>
      <c r="K248" s="224"/>
      <c r="L248" s="224"/>
      <c r="M248" s="224"/>
      <c r="N248" s="224"/>
      <c r="O248" s="224"/>
      <c r="P248" s="185"/>
      <c r="Q248" s="225"/>
      <c r="R248" s="182" t="str">
        <f ca="1">IF(ISERROR($V248),"",OFFSET('Smelter Look-up'!$C$4,$V248-4,0)&amp;"")</f>
        <v/>
      </c>
      <c r="S248" s="181" t="str">
        <f t="shared" ca="1" si="33"/>
        <v/>
      </c>
      <c r="T248" s="181" t="str">
        <f ca="1">IF(B248="","",IF(ISERROR(MATCH($J248,SorP!$B$1:$B$6279,0)),"",INDIRECT("'SorP'!$A$"&amp;MATCH($S248&amp;$J248,SorP!C:C,0))))</f>
        <v/>
      </c>
      <c r="U248" s="201"/>
      <c r="V248" s="226" t="e">
        <f>IF(C248="",NA(),IF(OR(C248="Smelter not listed",C248="Smelter not yet identified"),MATCH($B248&amp;$D248,'Smelter Look-up'!$J:$J,0),MATCH($B248&amp;$C248,'Smelter Look-up'!$J:$J,0)))</f>
        <v>#N/A</v>
      </c>
      <c r="X248" s="227">
        <f t="shared" si="34"/>
        <v>0</v>
      </c>
      <c r="AB248" s="228" t="str">
        <f t="shared" si="35"/>
        <v/>
      </c>
    </row>
    <row r="249" spans="1:28" s="227" customFormat="1" ht="51">
      <c r="A249" s="298"/>
      <c r="B249" s="293"/>
      <c r="C249" s="294"/>
      <c r="D249" s="295"/>
      <c r="E249" s="293"/>
      <c r="F249" s="293"/>
      <c r="G249" s="293"/>
      <c r="H249" s="296"/>
      <c r="I249" s="297"/>
      <c r="J249" s="297"/>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si="34"/>
        <v>0</v>
      </c>
      <c r="AB249" s="228" t="str">
        <f t="shared" si="35"/>
        <v/>
      </c>
    </row>
    <row r="250" spans="1:28" s="227" customFormat="1" ht="25.5">
      <c r="A250" s="298"/>
      <c r="B250" s="293"/>
      <c r="C250" s="294"/>
      <c r="D250" s="295"/>
      <c r="E250" s="293"/>
      <c r="F250" s="293"/>
      <c r="G250" s="293"/>
      <c r="H250" s="296"/>
      <c r="I250" s="297"/>
      <c r="J250" s="297"/>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si="34"/>
        <v>0</v>
      </c>
      <c r="AB250" s="228" t="str">
        <f t="shared" si="35"/>
        <v/>
      </c>
    </row>
    <row r="251" spans="1:28" s="227" customFormat="1" ht="38.25">
      <c r="A251" s="298"/>
      <c r="B251" s="293"/>
      <c r="C251" s="294"/>
      <c r="D251" s="295"/>
      <c r="E251" s="293"/>
      <c r="F251" s="293"/>
      <c r="G251" s="293"/>
      <c r="H251" s="296"/>
      <c r="I251" s="297"/>
      <c r="J251" s="297"/>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si="34"/>
        <v>0</v>
      </c>
      <c r="AB251" s="228" t="str">
        <f t="shared" si="35"/>
        <v/>
      </c>
    </row>
    <row r="252" spans="1:28" s="227" customFormat="1" ht="25.5">
      <c r="A252" s="298"/>
      <c r="B252" s="293"/>
      <c r="C252" s="294"/>
      <c r="D252" s="295"/>
      <c r="E252" s="293"/>
      <c r="F252" s="293"/>
      <c r="G252" s="293"/>
      <c r="H252" s="296"/>
      <c r="I252" s="297"/>
      <c r="J252" s="297"/>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si="34"/>
        <v>0</v>
      </c>
      <c r="AB252" s="228" t="str">
        <f t="shared" si="35"/>
        <v/>
      </c>
    </row>
    <row r="253" spans="1:28" s="227" customFormat="1" ht="25.5">
      <c r="A253" s="298"/>
      <c r="B253" s="293"/>
      <c r="C253" s="294"/>
      <c r="D253" s="295"/>
      <c r="E253" s="293"/>
      <c r="F253" s="293"/>
      <c r="G253" s="293"/>
      <c r="H253" s="296"/>
      <c r="I253" s="297"/>
      <c r="J253" s="297"/>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si="34"/>
        <v>0</v>
      </c>
      <c r="AB253" s="228" t="str">
        <f t="shared" si="35"/>
        <v/>
      </c>
    </row>
    <row r="254" spans="1:28" s="227" customFormat="1" ht="63.75">
      <c r="A254" s="298"/>
      <c r="B254" s="293"/>
      <c r="C254" s="294"/>
      <c r="D254" s="295"/>
      <c r="E254" s="293"/>
      <c r="F254" s="293"/>
      <c r="G254" s="293"/>
      <c r="H254" s="296"/>
      <c r="I254" s="297"/>
      <c r="J254" s="297"/>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si="34"/>
        <v>0</v>
      </c>
      <c r="AB254" s="228" t="str">
        <f t="shared" si="35"/>
        <v/>
      </c>
    </row>
    <row r="255" spans="1:28" s="227" customFormat="1" ht="127.5">
      <c r="A255" s="298"/>
      <c r="B255" s="293"/>
      <c r="C255" s="294"/>
      <c r="D255" s="295"/>
      <c r="E255" s="293"/>
      <c r="F255" s="293"/>
      <c r="G255" s="293"/>
      <c r="H255" s="296"/>
      <c r="I255" s="297"/>
      <c r="J255" s="297"/>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si="34"/>
        <v>0</v>
      </c>
      <c r="AB255" s="228" t="str">
        <f t="shared" si="35"/>
        <v/>
      </c>
    </row>
    <row r="256" spans="1:28" s="227" customFormat="1" ht="51">
      <c r="A256" s="298"/>
      <c r="B256" s="293"/>
      <c r="C256" s="294"/>
      <c r="D256" s="295"/>
      <c r="E256" s="293"/>
      <c r="F256" s="293"/>
      <c r="G256" s="293"/>
      <c r="H256" s="296"/>
      <c r="I256" s="297"/>
      <c r="J256" s="297"/>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si="34"/>
        <v>0</v>
      </c>
      <c r="AB256" s="228" t="str">
        <f t="shared" si="35"/>
        <v/>
      </c>
    </row>
    <row r="257" spans="1:28" s="227" customFormat="1" ht="102">
      <c r="A257" s="298"/>
      <c r="B257" s="293"/>
      <c r="C257" s="294"/>
      <c r="D257" s="295"/>
      <c r="E257" s="293"/>
      <c r="F257" s="293"/>
      <c r="G257" s="293"/>
      <c r="H257" s="296"/>
      <c r="I257" s="297"/>
      <c r="J257" s="297"/>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si="34"/>
        <v>0</v>
      </c>
      <c r="AB257" s="228" t="str">
        <f t="shared" si="35"/>
        <v/>
      </c>
    </row>
    <row r="258" spans="1:28" s="227" customFormat="1" ht="51">
      <c r="A258" s="298"/>
      <c r="B258" s="293"/>
      <c r="C258" s="294"/>
      <c r="D258" s="295"/>
      <c r="E258" s="293"/>
      <c r="F258" s="293"/>
      <c r="G258" s="293"/>
      <c r="H258" s="296"/>
      <c r="I258" s="297"/>
      <c r="J258" s="297"/>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si="34"/>
        <v>0</v>
      </c>
      <c r="AB258" s="228" t="str">
        <f t="shared" si="35"/>
        <v/>
      </c>
    </row>
    <row r="259" spans="1:28" s="227" customFormat="1" ht="51">
      <c r="A259" s="298"/>
      <c r="B259" s="293"/>
      <c r="C259" s="294"/>
      <c r="D259" s="295"/>
      <c r="E259" s="293"/>
      <c r="F259" s="293"/>
      <c r="G259" s="293"/>
      <c r="H259" s="296"/>
      <c r="I259" s="297"/>
      <c r="J259" s="297"/>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si="34"/>
        <v>0</v>
      </c>
      <c r="AB259" s="228" t="str">
        <f t="shared" si="35"/>
        <v/>
      </c>
    </row>
    <row r="260" spans="1:28" s="227" customFormat="1" ht="76.5">
      <c r="A260" s="298"/>
      <c r="B260" s="293"/>
      <c r="C260" s="294"/>
      <c r="D260" s="295"/>
      <c r="E260" s="293"/>
      <c r="F260" s="293"/>
      <c r="G260" s="293"/>
      <c r="H260" s="296"/>
      <c r="I260" s="297"/>
      <c r="J260" s="297"/>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si="34"/>
        <v>0</v>
      </c>
      <c r="AB260" s="228" t="str">
        <f t="shared" si="35"/>
        <v/>
      </c>
    </row>
    <row r="261" spans="1:28" s="227" customFormat="1" ht="38.25">
      <c r="A261" s="298"/>
      <c r="B261" s="293"/>
      <c r="C261" s="294"/>
      <c r="D261" s="295"/>
      <c r="E261" s="293"/>
      <c r="F261" s="293"/>
      <c r="G261" s="293"/>
      <c r="H261" s="296"/>
      <c r="I261" s="297"/>
      <c r="J261" s="297"/>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si="37">IF(AND(C261="Smelter not listed",OR(LEN(D261)=0,LEN(E261)=0)),1,0)</f>
        <v>0</v>
      </c>
      <c r="AB261" s="228" t="str">
        <f t="shared" ref="AB261" si="38">B261&amp;C261</f>
        <v/>
      </c>
    </row>
    <row r="262" spans="1:28" s="227" customFormat="1" ht="51">
      <c r="A262" s="298"/>
      <c r="B262" s="293"/>
      <c r="C262" s="294"/>
      <c r="D262" s="295"/>
      <c r="E262" s="293"/>
      <c r="F262" s="293"/>
      <c r="G262" s="293"/>
      <c r="H262" s="296"/>
      <c r="I262" s="297"/>
      <c r="J262" s="297"/>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si="40">IF(AND(C262="Smelter not listed",OR(LEN(D262)=0,LEN(E262)=0)),1,0)</f>
        <v>0</v>
      </c>
      <c r="AB262" s="228" t="str">
        <f t="shared" ref="AB262:AB293" si="41">B262&amp;C262</f>
        <v/>
      </c>
    </row>
    <row r="263" spans="1:28" s="227" customFormat="1" ht="76.5">
      <c r="A263" s="298"/>
      <c r="B263" s="293"/>
      <c r="C263" s="294"/>
      <c r="D263" s="295"/>
      <c r="E263" s="293"/>
      <c r="F263" s="293"/>
      <c r="G263" s="293"/>
      <c r="H263" s="296"/>
      <c r="I263" s="297"/>
      <c r="J263" s="297"/>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si="40"/>
        <v>0</v>
      </c>
      <c r="AB263" s="228" t="str">
        <f t="shared" si="41"/>
        <v/>
      </c>
    </row>
    <row r="264" spans="1:28" s="227" customFormat="1" ht="25.5">
      <c r="A264" s="298"/>
      <c r="B264" s="293"/>
      <c r="C264" s="294"/>
      <c r="D264" s="295"/>
      <c r="E264" s="293"/>
      <c r="F264" s="293"/>
      <c r="G264" s="293"/>
      <c r="H264" s="296"/>
      <c r="I264" s="297"/>
      <c r="J264" s="297"/>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si="40"/>
        <v>0</v>
      </c>
      <c r="AB264" s="228" t="str">
        <f t="shared" si="41"/>
        <v/>
      </c>
    </row>
    <row r="265" spans="1:28" s="227" customFormat="1" ht="38.25">
      <c r="A265" s="298"/>
      <c r="B265" s="293"/>
      <c r="C265" s="294"/>
      <c r="D265" s="295"/>
      <c r="E265" s="293"/>
      <c r="F265" s="293"/>
      <c r="G265" s="293"/>
      <c r="H265" s="296"/>
      <c r="I265" s="297"/>
      <c r="J265" s="297"/>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si="40"/>
        <v>0</v>
      </c>
      <c r="AB265" s="228" t="str">
        <f t="shared" si="41"/>
        <v/>
      </c>
    </row>
    <row r="266" spans="1:28" s="227" customFormat="1" ht="38.25">
      <c r="A266" s="298"/>
      <c r="B266" s="293"/>
      <c r="C266" s="294"/>
      <c r="D266" s="295"/>
      <c r="E266" s="293"/>
      <c r="F266" s="293"/>
      <c r="G266" s="293"/>
      <c r="H266" s="296"/>
      <c r="I266" s="297"/>
      <c r="J266" s="297"/>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si="40"/>
        <v>0</v>
      </c>
      <c r="AB266" s="228" t="str">
        <f t="shared" si="41"/>
        <v/>
      </c>
    </row>
    <row r="267" spans="1:28" s="227" customFormat="1" ht="38.25">
      <c r="A267" s="298"/>
      <c r="B267" s="293"/>
      <c r="C267" s="294"/>
      <c r="D267" s="295"/>
      <c r="E267" s="293"/>
      <c r="F267" s="293"/>
      <c r="G267" s="293"/>
      <c r="H267" s="296"/>
      <c r="I267" s="297"/>
      <c r="J267" s="297"/>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si="40"/>
        <v>0</v>
      </c>
      <c r="AB267" s="228" t="str">
        <f t="shared" si="41"/>
        <v/>
      </c>
    </row>
    <row r="268" spans="1:28" s="227" customFormat="1" ht="89.25">
      <c r="A268" s="298"/>
      <c r="B268" s="293"/>
      <c r="C268" s="294"/>
      <c r="D268" s="295"/>
      <c r="E268" s="293"/>
      <c r="F268" s="293"/>
      <c r="G268" s="293"/>
      <c r="H268" s="296"/>
      <c r="I268" s="297"/>
      <c r="J268" s="297"/>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si="40"/>
        <v>0</v>
      </c>
      <c r="AB268" s="228" t="str">
        <f t="shared" si="41"/>
        <v/>
      </c>
    </row>
    <row r="269" spans="1:28" s="227" customFormat="1" ht="89.25">
      <c r="A269" s="298"/>
      <c r="B269" s="293"/>
      <c r="C269" s="294"/>
      <c r="D269" s="295"/>
      <c r="E269" s="293"/>
      <c r="F269" s="293"/>
      <c r="G269" s="293"/>
      <c r="H269" s="296"/>
      <c r="I269" s="297"/>
      <c r="J269" s="297"/>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si="40"/>
        <v>0</v>
      </c>
      <c r="AB269" s="228" t="str">
        <f t="shared" si="41"/>
        <v/>
      </c>
    </row>
    <row r="270" spans="1:28" s="227" customFormat="1" ht="38.25">
      <c r="A270" s="298"/>
      <c r="B270" s="293"/>
      <c r="C270" s="294"/>
      <c r="D270" s="295"/>
      <c r="E270" s="293"/>
      <c r="F270" s="293"/>
      <c r="G270" s="293"/>
      <c r="H270" s="296"/>
      <c r="I270" s="297"/>
      <c r="J270" s="297"/>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si="40"/>
        <v>0</v>
      </c>
      <c r="AB270" s="228" t="str">
        <f t="shared" si="41"/>
        <v/>
      </c>
    </row>
    <row r="271" spans="1:28" s="227" customFormat="1" ht="51">
      <c r="A271" s="298"/>
      <c r="B271" s="293"/>
      <c r="C271" s="294"/>
      <c r="D271" s="295"/>
      <c r="E271" s="293"/>
      <c r="F271" s="293"/>
      <c r="G271" s="293"/>
      <c r="H271" s="296"/>
      <c r="I271" s="297"/>
      <c r="J271" s="297"/>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si="40"/>
        <v>0</v>
      </c>
      <c r="AB271" s="228" t="str">
        <f t="shared" si="41"/>
        <v/>
      </c>
    </row>
    <row r="272" spans="1:28" s="227" customFormat="1" ht="63.75">
      <c r="A272" s="298"/>
      <c r="B272" s="293"/>
      <c r="C272" s="294"/>
      <c r="D272" s="295"/>
      <c r="E272" s="293"/>
      <c r="F272" s="293"/>
      <c r="G272" s="293"/>
      <c r="H272" s="296"/>
      <c r="I272" s="297"/>
      <c r="J272" s="297"/>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si="40"/>
        <v>0</v>
      </c>
      <c r="AB272" s="228" t="str">
        <f t="shared" si="41"/>
        <v/>
      </c>
    </row>
    <row r="273" spans="1:28" s="227" customFormat="1" ht="89.25">
      <c r="A273" s="298"/>
      <c r="B273" s="293"/>
      <c r="C273" s="294"/>
      <c r="D273" s="295"/>
      <c r="E273" s="293"/>
      <c r="F273" s="293"/>
      <c r="G273" s="293"/>
      <c r="H273" s="296"/>
      <c r="I273" s="297"/>
      <c r="J273" s="297"/>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si="40"/>
        <v>0</v>
      </c>
      <c r="AB273" s="228" t="str">
        <f t="shared" si="41"/>
        <v/>
      </c>
    </row>
    <row r="274" spans="1:28" s="227" customFormat="1" ht="38.25">
      <c r="A274" s="298"/>
      <c r="B274" s="293"/>
      <c r="C274" s="294"/>
      <c r="D274" s="295"/>
      <c r="E274" s="293"/>
      <c r="F274" s="293"/>
      <c r="G274" s="293"/>
      <c r="H274" s="296"/>
      <c r="I274" s="297"/>
      <c r="J274" s="297"/>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si="40"/>
        <v>0</v>
      </c>
      <c r="AB274" s="228" t="str">
        <f t="shared" si="41"/>
        <v/>
      </c>
    </row>
    <row r="275" spans="1:28" s="227" customFormat="1" ht="38.25">
      <c r="A275" s="298"/>
      <c r="B275" s="293"/>
      <c r="C275" s="294"/>
      <c r="D275" s="295"/>
      <c r="E275" s="293"/>
      <c r="F275" s="293"/>
      <c r="G275" s="293"/>
      <c r="H275" s="296"/>
      <c r="I275" s="297"/>
      <c r="J275" s="297"/>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si="40"/>
        <v>0</v>
      </c>
      <c r="AB275" s="228" t="str">
        <f t="shared" si="41"/>
        <v/>
      </c>
    </row>
    <row r="276" spans="1:28" s="227" customFormat="1" ht="102">
      <c r="A276" s="298"/>
      <c r="B276" s="293"/>
      <c r="C276" s="294"/>
      <c r="D276" s="295"/>
      <c r="E276" s="293"/>
      <c r="F276" s="293"/>
      <c r="G276" s="293"/>
      <c r="H276" s="296"/>
      <c r="I276" s="297"/>
      <c r="J276" s="297"/>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si="40"/>
        <v>0</v>
      </c>
      <c r="AB276" s="228" t="str">
        <f t="shared" si="41"/>
        <v/>
      </c>
    </row>
    <row r="277" spans="1:28" s="227" customFormat="1" ht="165.75">
      <c r="A277" s="298"/>
      <c r="B277" s="293"/>
      <c r="C277" s="294"/>
      <c r="D277" s="295"/>
      <c r="E277" s="293"/>
      <c r="F277" s="293"/>
      <c r="G277" s="293"/>
      <c r="H277" s="296"/>
      <c r="I277" s="297"/>
      <c r="J277" s="297"/>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si="40"/>
        <v>0</v>
      </c>
      <c r="AB277" s="228" t="str">
        <f t="shared" si="41"/>
        <v/>
      </c>
    </row>
    <row r="278" spans="1:28" s="227" customFormat="1" ht="102">
      <c r="A278" s="299"/>
      <c r="B278" s="293"/>
      <c r="C278" s="294"/>
      <c r="D278" s="295"/>
      <c r="E278" s="293"/>
      <c r="F278" s="293"/>
      <c r="G278" s="293"/>
      <c r="H278" s="296"/>
      <c r="I278" s="297"/>
      <c r="J278" s="297"/>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si="40"/>
        <v>0</v>
      </c>
      <c r="AB278" s="228" t="str">
        <f t="shared" si="41"/>
        <v/>
      </c>
    </row>
    <row r="279" spans="1:28" s="227" customFormat="1" ht="51">
      <c r="A279" s="298"/>
      <c r="B279" s="293"/>
      <c r="C279" s="294"/>
      <c r="D279" s="295"/>
      <c r="E279" s="293"/>
      <c r="F279" s="293"/>
      <c r="G279" s="293"/>
      <c r="H279" s="296"/>
      <c r="I279" s="297"/>
      <c r="J279" s="297"/>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si="40"/>
        <v>0</v>
      </c>
      <c r="AB279" s="228" t="str">
        <f t="shared" si="41"/>
        <v/>
      </c>
    </row>
    <row r="280" spans="1:28" s="227" customFormat="1" ht="38.25">
      <c r="A280" s="298"/>
      <c r="B280" s="293"/>
      <c r="C280" s="294"/>
      <c r="D280" s="295"/>
      <c r="E280" s="293"/>
      <c r="F280" s="293"/>
      <c r="G280" s="293"/>
      <c r="H280" s="296"/>
      <c r="I280" s="297"/>
      <c r="J280" s="297"/>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si="40"/>
        <v>0</v>
      </c>
      <c r="AB280" s="228" t="str">
        <f t="shared" si="41"/>
        <v/>
      </c>
    </row>
    <row r="281" spans="1:28" s="227" customFormat="1" ht="63.75">
      <c r="A281" s="298"/>
      <c r="B281" s="293"/>
      <c r="C281" s="294"/>
      <c r="D281" s="295"/>
      <c r="E281" s="293"/>
      <c r="F281" s="293"/>
      <c r="G281" s="293"/>
      <c r="H281" s="296"/>
      <c r="I281" s="297"/>
      <c r="J281" s="297"/>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si="40"/>
        <v>0</v>
      </c>
      <c r="AB281" s="228" t="str">
        <f t="shared" si="41"/>
        <v/>
      </c>
    </row>
    <row r="282" spans="1:28" s="227" customFormat="1" ht="89.25">
      <c r="A282" s="298"/>
      <c r="B282" s="293"/>
      <c r="C282" s="294"/>
      <c r="D282" s="295"/>
      <c r="E282" s="293"/>
      <c r="F282" s="293"/>
      <c r="G282" s="293"/>
      <c r="H282" s="296"/>
      <c r="I282" s="297"/>
      <c r="J282" s="297"/>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si="40"/>
        <v>0</v>
      </c>
      <c r="AB282" s="228" t="str">
        <f t="shared" si="41"/>
        <v/>
      </c>
    </row>
    <row r="283" spans="1:28" s="227" customFormat="1" ht="51">
      <c r="A283" s="298"/>
      <c r="B283" s="293"/>
      <c r="C283" s="294"/>
      <c r="D283" s="295"/>
      <c r="E283" s="293"/>
      <c r="F283" s="293"/>
      <c r="G283" s="293"/>
      <c r="H283" s="296"/>
      <c r="I283" s="297"/>
      <c r="J283" s="297"/>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si="40"/>
        <v>0</v>
      </c>
      <c r="AB283" s="228" t="str">
        <f t="shared" si="41"/>
        <v/>
      </c>
    </row>
    <row r="284" spans="1:28" s="227" customFormat="1" ht="63.75">
      <c r="A284" s="298"/>
      <c r="B284" s="293"/>
      <c r="C284" s="294"/>
      <c r="D284" s="295"/>
      <c r="E284" s="293"/>
      <c r="F284" s="293"/>
      <c r="G284" s="293"/>
      <c r="H284" s="296"/>
      <c r="I284" s="297"/>
      <c r="J284" s="297"/>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si="40"/>
        <v>0</v>
      </c>
      <c r="AB284" s="228" t="str">
        <f t="shared" si="41"/>
        <v/>
      </c>
    </row>
    <row r="285" spans="1:28" s="227" customFormat="1" ht="38.25">
      <c r="A285" s="298"/>
      <c r="B285" s="293"/>
      <c r="C285" s="294"/>
      <c r="D285" s="295"/>
      <c r="E285" s="293"/>
      <c r="F285" s="293"/>
      <c r="G285" s="293"/>
      <c r="H285" s="296"/>
      <c r="I285" s="297"/>
      <c r="J285" s="297"/>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si="40"/>
        <v>0</v>
      </c>
      <c r="AB285" s="228" t="str">
        <f t="shared" si="41"/>
        <v/>
      </c>
    </row>
    <row r="286" spans="1:28" s="227" customFormat="1" ht="51">
      <c r="A286" s="298"/>
      <c r="B286" s="293"/>
      <c r="C286" s="294"/>
      <c r="D286" s="295"/>
      <c r="E286" s="293"/>
      <c r="F286" s="293"/>
      <c r="G286" s="293"/>
      <c r="H286" s="296"/>
      <c r="I286" s="297"/>
      <c r="J286" s="297"/>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si="40"/>
        <v>0</v>
      </c>
      <c r="AB286" s="228" t="str">
        <f t="shared" si="41"/>
        <v/>
      </c>
    </row>
    <row r="287" spans="1:28" s="227" customFormat="1" ht="51">
      <c r="A287" s="298"/>
      <c r="B287" s="293"/>
      <c r="C287" s="294"/>
      <c r="D287" s="295"/>
      <c r="E287" s="293"/>
      <c r="F287" s="293"/>
      <c r="G287" s="293"/>
      <c r="H287" s="296"/>
      <c r="I287" s="297"/>
      <c r="J287" s="297"/>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si="40"/>
        <v>0</v>
      </c>
      <c r="AB287" s="228" t="str">
        <f t="shared" si="41"/>
        <v/>
      </c>
    </row>
    <row r="288" spans="1:28" s="227" customFormat="1" ht="102">
      <c r="A288" s="298"/>
      <c r="B288" s="293"/>
      <c r="C288" s="294"/>
      <c r="D288" s="295"/>
      <c r="E288" s="293"/>
      <c r="F288" s="293"/>
      <c r="G288" s="293"/>
      <c r="H288" s="296"/>
      <c r="I288" s="297"/>
      <c r="J288" s="297"/>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si="40"/>
        <v>0</v>
      </c>
      <c r="AB288" s="228" t="str">
        <f t="shared" si="41"/>
        <v/>
      </c>
    </row>
    <row r="289" spans="1:28" s="227" customFormat="1" ht="51">
      <c r="A289" s="298"/>
      <c r="B289" s="293"/>
      <c r="C289" s="294"/>
      <c r="D289" s="295"/>
      <c r="E289" s="293"/>
      <c r="F289" s="293"/>
      <c r="G289" s="293"/>
      <c r="H289" s="296"/>
      <c r="I289" s="297"/>
      <c r="J289" s="297"/>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si="40"/>
        <v>0</v>
      </c>
      <c r="AB289" s="228" t="str">
        <f t="shared" si="41"/>
        <v/>
      </c>
    </row>
    <row r="290" spans="1:28" s="227" customFormat="1" ht="51">
      <c r="A290" s="298"/>
      <c r="B290" s="293"/>
      <c r="C290" s="294"/>
      <c r="D290" s="295"/>
      <c r="E290" s="293"/>
      <c r="F290" s="293"/>
      <c r="G290" s="293"/>
      <c r="H290" s="296"/>
      <c r="I290" s="297"/>
      <c r="J290" s="297"/>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si="40"/>
        <v>0</v>
      </c>
      <c r="AB290" s="228" t="str">
        <f t="shared" si="41"/>
        <v/>
      </c>
    </row>
    <row r="291" spans="1:28" s="227" customFormat="1" ht="38.25">
      <c r="A291" s="298"/>
      <c r="B291" s="293"/>
      <c r="C291" s="294"/>
      <c r="D291" s="295"/>
      <c r="E291" s="293"/>
      <c r="F291" s="293"/>
      <c r="G291" s="293"/>
      <c r="H291" s="296"/>
      <c r="I291" s="297"/>
      <c r="J291" s="297"/>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si="40"/>
        <v>0</v>
      </c>
      <c r="AB291" s="228" t="str">
        <f t="shared" si="41"/>
        <v/>
      </c>
    </row>
    <row r="292" spans="1:28" s="227" customFormat="1" ht="38.25">
      <c r="A292" s="298"/>
      <c r="B292" s="293"/>
      <c r="C292" s="294"/>
      <c r="D292" s="295"/>
      <c r="E292" s="293"/>
      <c r="F292" s="293"/>
      <c r="G292" s="293"/>
      <c r="H292" s="296"/>
      <c r="I292" s="297"/>
      <c r="J292" s="297"/>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si="40"/>
        <v>0</v>
      </c>
      <c r="AB292" s="228" t="str">
        <f t="shared" si="41"/>
        <v/>
      </c>
    </row>
    <row r="293" spans="1:28" s="227" customFormat="1" ht="102">
      <c r="A293" s="298"/>
      <c r="B293" s="293"/>
      <c r="C293" s="294"/>
      <c r="D293" s="295"/>
      <c r="E293" s="293"/>
      <c r="F293" s="293"/>
      <c r="G293" s="293"/>
      <c r="H293" s="296"/>
      <c r="I293" s="297"/>
      <c r="J293" s="297"/>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si="40"/>
        <v>0</v>
      </c>
      <c r="AB293" s="228" t="str">
        <f t="shared" si="41"/>
        <v/>
      </c>
    </row>
    <row r="294" spans="1:28" s="227" customFormat="1" ht="63.75">
      <c r="A294" s="298"/>
      <c r="B294" s="293"/>
      <c r="C294" s="294"/>
      <c r="D294" s="295"/>
      <c r="E294" s="293"/>
      <c r="F294" s="293"/>
      <c r="G294" s="293"/>
      <c r="H294" s="296"/>
      <c r="I294" s="297"/>
      <c r="J294" s="297"/>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si="43">IF(AND(C294="Smelter not listed",OR(LEN(D294)=0,LEN(E294)=0)),1,0)</f>
        <v>0</v>
      </c>
      <c r="AB294" s="228" t="str">
        <f t="shared" ref="AB294:AB324" si="44">B294&amp;C294</f>
        <v/>
      </c>
    </row>
    <row r="295" spans="1:28" s="227" customFormat="1" ht="76.5">
      <c r="A295" s="298"/>
      <c r="B295" s="293"/>
      <c r="C295" s="294"/>
      <c r="D295" s="295"/>
      <c r="E295" s="293"/>
      <c r="F295" s="293"/>
      <c r="G295" s="293"/>
      <c r="H295" s="296"/>
      <c r="I295" s="297"/>
      <c r="J295" s="297"/>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si="43"/>
        <v>0</v>
      </c>
      <c r="AB295" s="228" t="str">
        <f t="shared" si="44"/>
        <v/>
      </c>
    </row>
    <row r="296" spans="1:28" s="227" customFormat="1" ht="76.5">
      <c r="A296" s="298"/>
      <c r="B296" s="293"/>
      <c r="C296" s="294"/>
      <c r="D296" s="295"/>
      <c r="E296" s="293"/>
      <c r="F296" s="293"/>
      <c r="G296" s="293"/>
      <c r="H296" s="296"/>
      <c r="I296" s="297"/>
      <c r="J296" s="297"/>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si="43"/>
        <v>0</v>
      </c>
      <c r="AB296" s="228" t="str">
        <f t="shared" si="44"/>
        <v/>
      </c>
    </row>
    <row r="297" spans="1:28" s="227" customFormat="1" ht="102">
      <c r="A297" s="298"/>
      <c r="B297" s="293"/>
      <c r="C297" s="294"/>
      <c r="D297" s="295"/>
      <c r="E297" s="293"/>
      <c r="F297" s="293"/>
      <c r="G297" s="293"/>
      <c r="H297" s="296"/>
      <c r="I297" s="297"/>
      <c r="J297" s="297"/>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si="43"/>
        <v>0</v>
      </c>
      <c r="AB297" s="228" t="str">
        <f t="shared" si="44"/>
        <v/>
      </c>
    </row>
    <row r="298" spans="1:28" s="227" customFormat="1" ht="63.75">
      <c r="A298" s="298"/>
      <c r="B298" s="293"/>
      <c r="C298" s="294"/>
      <c r="D298" s="295"/>
      <c r="E298" s="293"/>
      <c r="F298" s="293"/>
      <c r="G298" s="293"/>
      <c r="H298" s="296"/>
      <c r="I298" s="297"/>
      <c r="J298" s="297"/>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si="43"/>
        <v>0</v>
      </c>
      <c r="AB298" s="228" t="str">
        <f t="shared" si="44"/>
        <v/>
      </c>
    </row>
    <row r="299" spans="1:28" s="227" customFormat="1" ht="89.25">
      <c r="A299" s="298"/>
      <c r="B299" s="293"/>
      <c r="C299" s="294"/>
      <c r="D299" s="295"/>
      <c r="E299" s="293"/>
      <c r="F299" s="293"/>
      <c r="G299" s="293"/>
      <c r="H299" s="296"/>
      <c r="I299" s="297"/>
      <c r="J299" s="297"/>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si="43"/>
        <v>0</v>
      </c>
      <c r="AB299" s="228" t="str">
        <f t="shared" si="44"/>
        <v/>
      </c>
    </row>
    <row r="300" spans="1:28" s="227" customFormat="1" ht="89.25">
      <c r="A300" s="298"/>
      <c r="B300" s="293"/>
      <c r="C300" s="294"/>
      <c r="D300" s="295"/>
      <c r="E300" s="293"/>
      <c r="F300" s="293"/>
      <c r="G300" s="293"/>
      <c r="H300" s="296"/>
      <c r="I300" s="297"/>
      <c r="J300" s="297"/>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si="43"/>
        <v>0</v>
      </c>
      <c r="AB300" s="228" t="str">
        <f t="shared" si="44"/>
        <v/>
      </c>
    </row>
    <row r="301" spans="1:28" s="227" customFormat="1" ht="89.25">
      <c r="A301" s="298"/>
      <c r="B301" s="293"/>
      <c r="C301" s="294"/>
      <c r="D301" s="295"/>
      <c r="E301" s="293"/>
      <c r="F301" s="293"/>
      <c r="G301" s="293"/>
      <c r="H301" s="296"/>
      <c r="I301" s="297"/>
      <c r="J301" s="297"/>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si="43"/>
        <v>0</v>
      </c>
      <c r="AB301" s="228" t="str">
        <f t="shared" si="44"/>
        <v/>
      </c>
    </row>
    <row r="302" spans="1:28" s="227" customFormat="1" ht="140.25">
      <c r="A302" s="298"/>
      <c r="B302" s="293"/>
      <c r="C302" s="294"/>
      <c r="D302" s="295"/>
      <c r="E302" s="293"/>
      <c r="F302" s="293"/>
      <c r="G302" s="293"/>
      <c r="H302" s="296"/>
      <c r="I302" s="297"/>
      <c r="J302" s="297"/>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si="43"/>
        <v>0</v>
      </c>
      <c r="AB302" s="228" t="str">
        <f t="shared" si="44"/>
        <v/>
      </c>
    </row>
    <row r="303" spans="1:28" s="227" customFormat="1" ht="63.75">
      <c r="A303" s="298"/>
      <c r="B303" s="293"/>
      <c r="C303" s="294"/>
      <c r="D303" s="295"/>
      <c r="E303" s="293"/>
      <c r="F303" s="293"/>
      <c r="G303" s="293"/>
      <c r="H303" s="296"/>
      <c r="I303" s="297"/>
      <c r="J303" s="297"/>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si="43"/>
        <v>0</v>
      </c>
      <c r="AB303" s="228" t="str">
        <f t="shared" si="44"/>
        <v/>
      </c>
    </row>
    <row r="304" spans="1:28" s="227" customFormat="1" ht="76.5">
      <c r="A304" s="298"/>
      <c r="B304" s="293"/>
      <c r="C304" s="294"/>
      <c r="D304" s="295"/>
      <c r="E304" s="293"/>
      <c r="F304" s="293"/>
      <c r="G304" s="293"/>
      <c r="H304" s="296"/>
      <c r="I304" s="297"/>
      <c r="J304" s="297"/>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si="43"/>
        <v>0</v>
      </c>
      <c r="AB304" s="228" t="str">
        <f t="shared" si="44"/>
        <v/>
      </c>
    </row>
    <row r="305" spans="1:28" s="227" customFormat="1" ht="63.75">
      <c r="A305" s="298"/>
      <c r="B305" s="293"/>
      <c r="C305" s="294"/>
      <c r="D305" s="295"/>
      <c r="E305" s="293"/>
      <c r="F305" s="293"/>
      <c r="G305" s="293"/>
      <c r="H305" s="296"/>
      <c r="I305" s="297"/>
      <c r="J305" s="297"/>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si="43"/>
        <v>0</v>
      </c>
      <c r="AB305" s="228" t="str">
        <f t="shared" si="44"/>
        <v/>
      </c>
    </row>
    <row r="306" spans="1:28" s="227" customFormat="1" ht="51">
      <c r="A306" s="298"/>
      <c r="B306" s="293"/>
      <c r="C306" s="294"/>
      <c r="D306" s="295"/>
      <c r="E306" s="293"/>
      <c r="F306" s="293"/>
      <c r="G306" s="293"/>
      <c r="H306" s="296"/>
      <c r="I306" s="297"/>
      <c r="J306" s="297"/>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si="43"/>
        <v>0</v>
      </c>
      <c r="AB306" s="228" t="str">
        <f t="shared" si="44"/>
        <v/>
      </c>
    </row>
    <row r="307" spans="1:28" s="227" customFormat="1" ht="153">
      <c r="A307" s="298"/>
      <c r="B307" s="293"/>
      <c r="C307" s="294"/>
      <c r="D307" s="295"/>
      <c r="E307" s="293"/>
      <c r="F307" s="293"/>
      <c r="G307" s="293"/>
      <c r="H307" s="296"/>
      <c r="I307" s="297"/>
      <c r="J307" s="297"/>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si="43"/>
        <v>0</v>
      </c>
      <c r="AB307" s="228" t="str">
        <f t="shared" si="44"/>
        <v/>
      </c>
    </row>
    <row r="308" spans="1:28" s="227" customFormat="1" ht="89.25">
      <c r="A308" s="298"/>
      <c r="B308" s="293"/>
      <c r="C308" s="294"/>
      <c r="D308" s="295"/>
      <c r="E308" s="293"/>
      <c r="F308" s="293"/>
      <c r="G308" s="293"/>
      <c r="H308" s="296"/>
      <c r="I308" s="297"/>
      <c r="J308" s="297"/>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si="43"/>
        <v>0</v>
      </c>
      <c r="AB308" s="228" t="str">
        <f t="shared" si="44"/>
        <v/>
      </c>
    </row>
    <row r="309" spans="1:28" s="227" customFormat="1" ht="89.25">
      <c r="A309" s="298"/>
      <c r="B309" s="293"/>
      <c r="C309" s="294"/>
      <c r="D309" s="295"/>
      <c r="E309" s="293"/>
      <c r="F309" s="293"/>
      <c r="G309" s="293"/>
      <c r="H309" s="296"/>
      <c r="I309" s="297"/>
      <c r="J309" s="297"/>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si="43"/>
        <v>0</v>
      </c>
      <c r="AB309" s="228" t="str">
        <f t="shared" si="44"/>
        <v/>
      </c>
    </row>
    <row r="310" spans="1:28" s="227" customFormat="1" ht="89.25">
      <c r="A310" s="298"/>
      <c r="B310" s="293"/>
      <c r="C310" s="294"/>
      <c r="D310" s="295"/>
      <c r="E310" s="293"/>
      <c r="F310" s="293"/>
      <c r="G310" s="293"/>
      <c r="H310" s="296"/>
      <c r="I310" s="297"/>
      <c r="J310" s="297"/>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si="43"/>
        <v>0</v>
      </c>
      <c r="AB310" s="228" t="str">
        <f t="shared" si="44"/>
        <v/>
      </c>
    </row>
    <row r="311" spans="1:28" s="227" customFormat="1" ht="89.25">
      <c r="A311" s="298"/>
      <c r="B311" s="293"/>
      <c r="C311" s="294"/>
      <c r="D311" s="295"/>
      <c r="E311" s="293"/>
      <c r="F311" s="293"/>
      <c r="G311" s="293"/>
      <c r="H311" s="296"/>
      <c r="I311" s="297"/>
      <c r="J311" s="297"/>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si="43"/>
        <v>0</v>
      </c>
      <c r="AB311" s="228" t="str">
        <f t="shared" si="44"/>
        <v/>
      </c>
    </row>
    <row r="312" spans="1:28" s="227" customFormat="1" ht="38.25">
      <c r="A312" s="298"/>
      <c r="B312" s="293"/>
      <c r="C312" s="294"/>
      <c r="D312" s="295"/>
      <c r="E312" s="293"/>
      <c r="F312" s="293"/>
      <c r="G312" s="293"/>
      <c r="H312" s="296"/>
      <c r="I312" s="297"/>
      <c r="J312" s="297"/>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si="43"/>
        <v>0</v>
      </c>
      <c r="AB312" s="228" t="str">
        <f t="shared" si="44"/>
        <v/>
      </c>
    </row>
    <row r="313" spans="1:28" s="227" customFormat="1" ht="25.5">
      <c r="A313" s="298"/>
      <c r="B313" s="293"/>
      <c r="C313" s="294"/>
      <c r="D313" s="295"/>
      <c r="E313" s="293"/>
      <c r="F313" s="293"/>
      <c r="G313" s="293"/>
      <c r="H313" s="296"/>
      <c r="I313" s="297"/>
      <c r="J313" s="297"/>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si="43"/>
        <v>0</v>
      </c>
      <c r="AB313" s="228" t="str">
        <f t="shared" si="44"/>
        <v/>
      </c>
    </row>
    <row r="314" spans="1:28" s="227" customFormat="1" ht="38.25">
      <c r="A314" s="298"/>
      <c r="B314" s="293"/>
      <c r="C314" s="294"/>
      <c r="D314" s="295"/>
      <c r="E314" s="293"/>
      <c r="F314" s="293"/>
      <c r="G314" s="293"/>
      <c r="H314" s="296"/>
      <c r="I314" s="297"/>
      <c r="J314" s="297"/>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si="43"/>
        <v>0</v>
      </c>
      <c r="AB314" s="228" t="str">
        <f t="shared" si="44"/>
        <v/>
      </c>
    </row>
    <row r="315" spans="1:28" s="227" customFormat="1" ht="51">
      <c r="A315" s="298"/>
      <c r="B315" s="293"/>
      <c r="C315" s="294"/>
      <c r="D315" s="295"/>
      <c r="E315" s="293"/>
      <c r="F315" s="293"/>
      <c r="G315" s="293"/>
      <c r="H315" s="296"/>
      <c r="I315" s="297"/>
      <c r="J315" s="297"/>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si="43"/>
        <v>0</v>
      </c>
      <c r="AB315" s="228" t="str">
        <f t="shared" si="44"/>
        <v/>
      </c>
    </row>
    <row r="316" spans="1:28" s="227" customFormat="1" ht="51">
      <c r="A316" s="298"/>
      <c r="B316" s="293"/>
      <c r="C316" s="294"/>
      <c r="D316" s="295"/>
      <c r="E316" s="293"/>
      <c r="F316" s="293"/>
      <c r="G316" s="293"/>
      <c r="H316" s="296"/>
      <c r="I316" s="297"/>
      <c r="J316" s="297"/>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si="43"/>
        <v>0</v>
      </c>
      <c r="AB316" s="228" t="str">
        <f t="shared" si="44"/>
        <v/>
      </c>
    </row>
    <row r="317" spans="1:28" s="227" customFormat="1" ht="38.25">
      <c r="A317" s="298"/>
      <c r="B317" s="293"/>
      <c r="C317" s="294"/>
      <c r="D317" s="295"/>
      <c r="E317" s="293"/>
      <c r="F317" s="293"/>
      <c r="G317" s="293"/>
      <c r="H317" s="296"/>
      <c r="I317" s="297"/>
      <c r="J317" s="297"/>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si="43"/>
        <v>0</v>
      </c>
      <c r="AB317" s="228" t="str">
        <f t="shared" si="44"/>
        <v/>
      </c>
    </row>
    <row r="318" spans="1:28" s="227" customFormat="1" ht="38.25">
      <c r="A318" s="298"/>
      <c r="B318" s="293"/>
      <c r="C318" s="294"/>
      <c r="D318" s="295"/>
      <c r="E318" s="293"/>
      <c r="F318" s="293"/>
      <c r="G318" s="293"/>
      <c r="H318" s="296"/>
      <c r="I318" s="297"/>
      <c r="J318" s="297"/>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si="43"/>
        <v>0</v>
      </c>
      <c r="AB318" s="228" t="str">
        <f t="shared" si="44"/>
        <v/>
      </c>
    </row>
    <row r="319" spans="1:28" s="227" customFormat="1" ht="51">
      <c r="A319" s="298"/>
      <c r="B319" s="293"/>
      <c r="C319" s="294"/>
      <c r="D319" s="295"/>
      <c r="E319" s="293"/>
      <c r="F319" s="293"/>
      <c r="G319" s="293"/>
      <c r="H319" s="296"/>
      <c r="I319" s="297"/>
      <c r="J319" s="297"/>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si="43"/>
        <v>0</v>
      </c>
      <c r="AB319" s="228" t="str">
        <f t="shared" si="44"/>
        <v/>
      </c>
    </row>
    <row r="320" spans="1:28" s="227" customFormat="1" ht="89.25">
      <c r="A320" s="298"/>
      <c r="B320" s="293"/>
      <c r="C320" s="294"/>
      <c r="D320" s="295"/>
      <c r="E320" s="293"/>
      <c r="F320" s="293"/>
      <c r="G320" s="293"/>
      <c r="H320" s="296"/>
      <c r="I320" s="297"/>
      <c r="J320" s="297"/>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si="43"/>
        <v>0</v>
      </c>
      <c r="AB320" s="228" t="str">
        <f t="shared" si="44"/>
        <v/>
      </c>
    </row>
    <row r="321" spans="1:28" s="227" customFormat="1" ht="102">
      <c r="A321" s="298"/>
      <c r="B321" s="293"/>
      <c r="C321" s="294"/>
      <c r="D321" s="295"/>
      <c r="E321" s="293"/>
      <c r="F321" s="293"/>
      <c r="G321" s="293"/>
      <c r="H321" s="296"/>
      <c r="I321" s="297"/>
      <c r="J321" s="297"/>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si="43"/>
        <v>0</v>
      </c>
      <c r="AB321" s="228" t="str">
        <f t="shared" si="44"/>
        <v/>
      </c>
    </row>
    <row r="322" spans="1:28" s="227" customFormat="1" ht="114.75">
      <c r="A322" s="298"/>
      <c r="B322" s="293"/>
      <c r="C322" s="294"/>
      <c r="D322" s="295"/>
      <c r="E322" s="293"/>
      <c r="F322" s="293"/>
      <c r="G322" s="293"/>
      <c r="H322" s="296"/>
      <c r="I322" s="297"/>
      <c r="J322" s="297"/>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si="43"/>
        <v>0</v>
      </c>
      <c r="AB322" s="228" t="str">
        <f t="shared" si="44"/>
        <v/>
      </c>
    </row>
    <row r="323" spans="1:28" s="227" customFormat="1" ht="51">
      <c r="A323" s="298"/>
      <c r="B323" s="293"/>
      <c r="C323" s="294"/>
      <c r="D323" s="295"/>
      <c r="E323" s="293"/>
      <c r="F323" s="293"/>
      <c r="G323" s="293"/>
      <c r="H323" s="296"/>
      <c r="I323" s="297"/>
      <c r="J323" s="297"/>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si="43"/>
        <v>0</v>
      </c>
      <c r="AB323" s="228" t="str">
        <f t="shared" si="44"/>
        <v/>
      </c>
    </row>
    <row r="324" spans="1:28" s="227" customFormat="1" ht="51">
      <c r="A324" s="298"/>
      <c r="B324" s="293"/>
      <c r="C324" s="294"/>
      <c r="D324" s="295"/>
      <c r="E324" s="293"/>
      <c r="F324" s="293"/>
      <c r="G324" s="293"/>
      <c r="H324" s="296"/>
      <c r="I324" s="297"/>
      <c r="J324" s="297"/>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si="43"/>
        <v>0</v>
      </c>
      <c r="AB324" s="228" t="str">
        <f t="shared" si="44"/>
        <v/>
      </c>
    </row>
    <row r="325" spans="1:28" s="227" customFormat="1" ht="38.25">
      <c r="A325" s="298"/>
      <c r="B325" s="293"/>
      <c r="C325" s="294"/>
      <c r="D325" s="295"/>
      <c r="E325" s="293"/>
      <c r="F325" s="293"/>
      <c r="G325" s="293"/>
      <c r="H325" s="296"/>
      <c r="I325" s="297"/>
      <c r="J325" s="297"/>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si="46">IF(AND(C325="Smelter not listed",OR(LEN(D325)=0,LEN(E325)=0)),1,0)</f>
        <v>0</v>
      </c>
      <c r="AB325" s="228" t="str">
        <f t="shared" ref="AB325" si="47">B325&amp;C325</f>
        <v/>
      </c>
    </row>
    <row r="326" spans="1:28" s="227" customFormat="1" ht="51">
      <c r="A326" s="298"/>
      <c r="B326" s="293"/>
      <c r="C326" s="294"/>
      <c r="D326" s="295"/>
      <c r="E326" s="293"/>
      <c r="F326" s="293"/>
      <c r="G326" s="293"/>
      <c r="H326" s="296"/>
      <c r="I326" s="297"/>
      <c r="J326" s="297"/>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si="49">IF(AND(C326="Smelter not listed",OR(LEN(D326)=0,LEN(E326)=0)),1,0)</f>
        <v>0</v>
      </c>
      <c r="AB326" s="228" t="str">
        <f t="shared" ref="AB326:AB357" si="50">B326&amp;C326</f>
        <v/>
      </c>
    </row>
    <row r="327" spans="1:28" s="227" customFormat="1" ht="38.25">
      <c r="A327" s="298"/>
      <c r="B327" s="293"/>
      <c r="C327" s="294"/>
      <c r="D327" s="295"/>
      <c r="E327" s="293"/>
      <c r="F327" s="293"/>
      <c r="G327" s="293"/>
      <c r="H327" s="296"/>
      <c r="I327" s="297"/>
      <c r="J327" s="297"/>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si="49"/>
        <v>0</v>
      </c>
      <c r="AB327" s="228" t="str">
        <f t="shared" si="50"/>
        <v/>
      </c>
    </row>
    <row r="328" spans="1:28" s="227" customFormat="1" ht="89.25">
      <c r="A328" s="300"/>
      <c r="B328" s="293"/>
      <c r="C328" s="294"/>
      <c r="D328" s="295"/>
      <c r="E328" s="293"/>
      <c r="F328" s="293"/>
      <c r="G328" s="293"/>
      <c r="H328" s="296"/>
      <c r="I328" s="297"/>
      <c r="J328" s="297"/>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si="49"/>
        <v>0</v>
      </c>
      <c r="AB328" s="228" t="str">
        <f t="shared" si="50"/>
        <v/>
      </c>
    </row>
    <row r="329" spans="1:28" s="227" customFormat="1" ht="51">
      <c r="A329" s="300"/>
      <c r="B329" s="293"/>
      <c r="C329" s="294"/>
      <c r="D329" s="295"/>
      <c r="E329" s="293"/>
      <c r="F329" s="293"/>
      <c r="G329" s="293"/>
      <c r="H329" s="296"/>
      <c r="I329" s="297"/>
      <c r="J329" s="297"/>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si="49"/>
        <v>0</v>
      </c>
      <c r="AB329" s="228" t="str">
        <f t="shared" si="50"/>
        <v/>
      </c>
    </row>
    <row r="330" spans="1:28" s="227" customFormat="1" ht="38.25">
      <c r="A330" s="300"/>
      <c r="B330" s="293"/>
      <c r="C330" s="294"/>
      <c r="D330" s="295"/>
      <c r="E330" s="293"/>
      <c r="F330" s="293"/>
      <c r="G330" s="293"/>
      <c r="H330" s="296"/>
      <c r="I330" s="297"/>
      <c r="J330" s="297"/>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si="49"/>
        <v>0</v>
      </c>
      <c r="AB330" s="228" t="str">
        <f t="shared" si="50"/>
        <v/>
      </c>
    </row>
    <row r="331" spans="1:28" s="227" customFormat="1" ht="76.5">
      <c r="A331" s="300"/>
      <c r="B331" s="293"/>
      <c r="C331" s="294"/>
      <c r="D331" s="295"/>
      <c r="E331" s="293"/>
      <c r="F331" s="293"/>
      <c r="G331" s="293"/>
      <c r="H331" s="296"/>
      <c r="I331" s="297"/>
      <c r="J331" s="297"/>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si="49"/>
        <v>0</v>
      </c>
      <c r="AB331" s="228" t="str">
        <f t="shared" si="50"/>
        <v/>
      </c>
    </row>
    <row r="332" spans="1:28" s="227" customFormat="1" ht="51">
      <c r="A332" s="298"/>
      <c r="B332" s="293"/>
      <c r="C332" s="294"/>
      <c r="D332" s="295"/>
      <c r="E332" s="293"/>
      <c r="F332" s="293"/>
      <c r="G332" s="293"/>
      <c r="H332" s="296"/>
      <c r="I332" s="297"/>
      <c r="J332" s="297"/>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si="49"/>
        <v>0</v>
      </c>
      <c r="AB332" s="228" t="str">
        <f t="shared" si="50"/>
        <v/>
      </c>
    </row>
    <row r="333" spans="1:28" s="227" customFormat="1" ht="63.75">
      <c r="A333" s="301"/>
      <c r="B333" s="293"/>
      <c r="C333" s="294"/>
      <c r="D333" s="295"/>
      <c r="E333" s="293"/>
      <c r="F333" s="293"/>
      <c r="G333" s="293"/>
      <c r="H333" s="296"/>
      <c r="I333" s="297"/>
      <c r="J333" s="297"/>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5" t="str">
        <f>IF(LEN(A2504)=0,"",INDEX('Smelter Look-up'!$A:$A,MATCH($A2504,'Smelter Look-up'!$E:$E,0)))</f>
        <v/>
      </c>
      <c r="C2504" s="186" t="str">
        <f>IF(LEN(A2504)=0,"",INDEX('Smelter Look-up'!$C:$C,MATCH($A2504,'Smelter Look-up'!$E:$E,0)))</f>
        <v/>
      </c>
      <c r="D2504" s="288"/>
      <c r="E2504" s="285" t="str">
        <f ca="1">IF(ISERROR($V2504),"",OFFSET('Smelter Look-up'!$D$4,$V2504-4,0)&amp;"")</f>
        <v/>
      </c>
      <c r="F2504" s="285" t="str">
        <f ca="1">IF(ISERROR($V2504),"",OFFSET('Smelter Look-up'!$E$4,$V2504-4,0))</f>
        <v/>
      </c>
      <c r="G2504" s="285" t="str">
        <f ca="1">IF(C2504=$X$4,IF(ISERROR($V2504),"Enter smelter details","RMI"),IF(ISERROR($V2504),"",OFFSET('Smelter Look-up'!$F$4,$V2504-4,0)))</f>
        <v/>
      </c>
      <c r="H2504" s="289" t="str">
        <f ca="1">IF(ISERROR($V2504),"",OFFSET('Smelter Look-up'!$G$4,$V2504-4,0))</f>
        <v/>
      </c>
      <c r="I2504" s="290" t="str">
        <f ca="1">IF(ISERROR($V2504),"",OFFSET('Smelter Look-up'!$H$4,$V2504-4,0))</f>
        <v/>
      </c>
      <c r="J2504" s="291" t="str">
        <f ca="1">IF(ISERROR($V2504),"",OFFSET('Smelter Look-up'!$I$4,$V2504-4,0))</f>
        <v/>
      </c>
      <c r="K2504" s="224"/>
      <c r="L2504" s="224"/>
      <c r="M2504" s="224"/>
      <c r="N2504" s="224"/>
      <c r="O2504" s="224"/>
      <c r="P2504" s="287"/>
      <c r="Q2504" s="284"/>
      <c r="R2504" s="286" t="str">
        <f ca="1">IF(ISERROR($V2504),"",OFFSET('Smelter Look-up'!$C$4,$V2504-4,0)&amp;"")</f>
        <v/>
      </c>
      <c r="S2504" s="283"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00000000-0000-0000-0000-000000000000}"/>
    </customSheetView>
  </customSheetViews>
  <mergeCells count="3">
    <mergeCell ref="J2:O2"/>
    <mergeCell ref="B3:E3"/>
    <mergeCell ref="G3:I3"/>
  </mergeCells>
  <conditionalFormatting sqref="B5:B2504">
    <cfRule type="expression" dxfId="21" priority="4" stopIfTrue="1">
      <formula>IF(B5="",TRUE)</formula>
    </cfRule>
    <cfRule type="expression" dxfId="20" priority="7" stopIfTrue="1">
      <formula>IF(AND(COUNTIF(MetalSmelter,B5&amp;C5)=0,LEN(C5)&gt;0),TRUE,FALSE)</formula>
    </cfRule>
  </conditionalFormatting>
  <conditionalFormatting sqref="C5:C2504">
    <cfRule type="expression" dxfId="19" priority="2" stopIfTrue="1">
      <formula>IF(AND(B5&lt;&gt;"",C5=""),TRUE)</formula>
    </cfRule>
  </conditionalFormatting>
  <conditionalFormatting sqref="D5:D2504">
    <cfRule type="expression" dxfId="18" priority="11" stopIfTrue="1">
      <formula>IF(AND(LEN($C5)&gt;0,AND($C5&lt;&gt;"Smelter Not Listed",ISBLANK($D5))),1,0)</formula>
    </cfRule>
    <cfRule type="expression" dxfId="17" priority="18" stopIfTrue="1">
      <formula>IF(AND(D5="",$C5=$X$4),TRUE)</formula>
    </cfRule>
    <cfRule type="expression" dxfId="16" priority="19" stopIfTrue="1">
      <formula>IF(FIND("!",D5),TRUE)</formula>
    </cfRule>
  </conditionalFormatting>
  <conditionalFormatting sqref="E5:E2504 R5:R2504">
    <cfRule type="expression" dxfId="15" priority="5" stopIfTrue="1">
      <formula>IF(AND(E5="",$C5=$X$4),TRUE)</formula>
    </cfRule>
    <cfRule type="expression" dxfId="14" priority="6" stopIfTrue="1">
      <formula>IF(FIND("!",E5),TRUE)</formula>
    </cfRule>
  </conditionalFormatting>
  <conditionalFormatting sqref="F5:F2504">
    <cfRule type="expression" dxfId="13" priority="3" stopIfTrue="1">
      <formula>IF(AND(LEN($A5)&gt;0,$A5&lt;&gt;$F5),TRUE,FALSE)</formula>
    </cfRule>
  </conditionalFormatting>
  <conditionalFormatting sqref="G5:G2504">
    <cfRule type="expression" dxfId="12" priority="20"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B14" sqref="B1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401" t="str">
        <f ca="1">OFFSET(L!$C$1,MATCH("Checker"&amp;ADDRESS(ROW(),COLUMN(),4),L!$A:$A,0)-1,SL,,)</f>
        <v>To ensure all required fields have been populated before submitting to your customers review form for any line items highlighted in red</v>
      </c>
      <c r="B1" s="401"/>
      <c r="C1" s="401"/>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 xml:space="preserve">Umbragroup S.p.A.						</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 xml:space="preserve">Bryan Colurciello						</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BColurciello@umbragroup.com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0742348618</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Alessio Nicolì</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Anicoli@umbragroup.com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45323</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No</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No</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No</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No</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No</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7" t="str">
        <f>IF(AND($B$14="Yes",$B$19="Yes"),Declaration!D56,0)</f>
        <v>100%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100%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100%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7" t="str">
        <f>IF(AND($B$17="Yes",$B$22="Yes"),Declaration!D59,0)</f>
        <v>100%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Yes</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Yes</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www.umbragroup.com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403" t="str">
        <f ca="1">OFFSET(L!$C$1,MATCH("Product List"&amp;ADDRESS(ROW(),COLUMN(),4),L!$A:$A,0)-1,SL,,)</f>
        <v>Completion required only if reporting level "Product (or List of Products)" selected on the 'Declaration' worksheet.</v>
      </c>
      <c r="B1" s="404"/>
      <c r="C1" s="404"/>
      <c r="D1" s="40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402" t="s">
        <v>894</v>
      </c>
      <c r="C4" s="402"/>
      <c r="D4" s="402"/>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405" t="str">
        <f ca="1">OFFSET(L!$C$1,MATCH("General"&amp;"Cpy",L!$A:$A,0)-1,SL,,)</f>
        <v>© 2023 Responsible Minerals Initiative. All rights reserved.</v>
      </c>
      <c r="C2006" s="405"/>
      <c r="D2006" s="405"/>
      <c r="E2006" s="278"/>
    </row>
    <row r="2007" spans="1:5" ht="13.5" thickTop="1">
      <c r="D2007" s="280"/>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40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6"/>
      <c r="C1" s="406"/>
      <c r="D1" s="406"/>
      <c r="E1" s="406"/>
      <c r="F1" s="406"/>
      <c r="G1" s="406"/>
    </row>
    <row r="2" spans="1:11">
      <c r="A2" s="407"/>
      <c r="B2" s="407"/>
      <c r="C2" s="407"/>
      <c r="D2" s="407"/>
      <c r="E2" s="407"/>
      <c r="F2" s="407"/>
      <c r="G2" s="407"/>
      <c r="H2" s="407"/>
      <c r="I2" s="407"/>
    </row>
    <row r="3" spans="1:11">
      <c r="A3" s="407"/>
      <c r="B3" s="407"/>
      <c r="C3" s="407"/>
      <c r="D3" s="407"/>
      <c r="E3" s="407"/>
      <c r="F3" s="407"/>
      <c r="G3" s="407"/>
      <c r="H3" s="407"/>
      <c r="I3" s="407"/>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2" t="s">
        <v>2272</v>
      </c>
      <c r="I618" s="282"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2" t="s">
        <v>1842</v>
      </c>
      <c r="I621" s="282"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2" t="s">
        <v>13882</v>
      </c>
      <c r="I622" s="282"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2" t="s">
        <v>1839</v>
      </c>
      <c r="I623" s="282"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2" t="s">
        <v>15152</v>
      </c>
      <c r="I624" s="282"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2" t="s">
        <v>15152</v>
      </c>
      <c r="I625" s="282"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2" t="s">
        <v>2274</v>
      </c>
      <c r="I626" s="282"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2" t="s">
        <v>1750</v>
      </c>
      <c r="I627" s="282"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2" t="s">
        <v>15563</v>
      </c>
      <c r="I628" s="282"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2" t="s">
        <v>2538</v>
      </c>
      <c r="I629" s="282"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2" t="s">
        <v>1829</v>
      </c>
      <c r="I630" s="282"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2" t="s">
        <v>1829</v>
      </c>
      <c r="I631" s="282"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3"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5" t="s">
        <v>14213</v>
      </c>
      <c r="G31" s="268"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5" t="s">
        <v>14214</v>
      </c>
      <c r="G32" s="268"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5" t="s">
        <v>14215</v>
      </c>
      <c r="G33" s="268"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5" t="s">
        <v>14217</v>
      </c>
      <c r="G35" s="269"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3"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3"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3"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3"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3"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3"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13.75">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3"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0"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0"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3"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3"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3"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30">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3"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2" t="s">
        <v>14983</v>
      </c>
      <c r="F174" s="263" t="s">
        <v>15026</v>
      </c>
      <c r="G174" s="262" t="s">
        <v>14984</v>
      </c>
      <c r="H174" s="262" t="s">
        <v>14985</v>
      </c>
      <c r="I174" s="262" t="s">
        <v>14986</v>
      </c>
      <c r="J174" s="262" t="s">
        <v>14987</v>
      </c>
      <c r="K174" s="262" t="s">
        <v>14988</v>
      </c>
      <c r="L174" s="262" t="s">
        <v>14989</v>
      </c>
      <c r="M174" s="262"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4"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4"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4"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4"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3"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3"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3"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3"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3"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3"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3"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3"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3"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3"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1"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1"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1"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1"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1"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1"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a54701f6-876b-4337-a24e-543e1bd311e6"/>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6e8a5f3d-031c-4996-804e-0e28298fe1e2"/>
    <ds:schemaRef ds:uri="http://www.w3.org/XML/1998/namespac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Fogli di lavoro</vt:lpstr>
      </vt:variant>
      <vt:variant>
        <vt:i4>11</vt:i4>
      </vt:variant>
      <vt:variant>
        <vt:lpstr>Intervalli denominati</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Declaration!Area_stampa</vt:lpstr>
      <vt:lpstr>CL</vt:lpstr>
      <vt:lpstr>LN</vt:lpstr>
      <vt:lpstr>'Smelter List'!Metal</vt:lpstr>
      <vt:lpstr>SL</vt:lpstr>
      <vt:lpstr>SmelterIdetifiedForMetal</vt:lpstr>
      <vt:lpstr>Declaration!Titoli_stampa</vt:lpstr>
      <vt:lpstr>'Product List'!Titoli_stampa</vt:lpstr>
      <vt:lpstr>'Smelter List'!Titoli_stampa</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Bryan Colurciello</cp:lastModifiedBy>
  <cp:lastPrinted>2015-04-21T20:47:43Z</cp:lastPrinted>
  <dcterms:created xsi:type="dcterms:W3CDTF">2010-06-21T21:00:23Z</dcterms:created>
  <dcterms:modified xsi:type="dcterms:W3CDTF">2024-02-02T10:37:14Z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